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cpredu-my.sharepoint.com/personal/rafael_finatti_grupomarista_org_br/Documents/Documents/Particular/CVX/CEN/Financeiro/"/>
    </mc:Choice>
  </mc:AlternateContent>
  <xr:revisionPtr revIDLastSave="694" documentId="8_{F586EF02-A440-41D7-A720-6286564627E3}" xr6:coauthVersionLast="47" xr6:coauthVersionMax="47" xr10:uidLastSave="{12D66AB5-50E6-4197-BE17-3FA99E84C2FA}"/>
  <bookViews>
    <workbookView xWindow="28680" yWindow="-120" windowWidth="19440" windowHeight="15000" firstSheet="4" activeTab="6" xr2:uid="{00000000-000D-0000-FFFF-FFFF00000000}"/>
  </bookViews>
  <sheets>
    <sheet name="Orçado x Realizado" sheetId="2" state="hidden" r:id="rId1"/>
    <sheet name="Receitas" sheetId="3" state="hidden" r:id="rId2"/>
    <sheet name="Despesas" sheetId="5" state="hidden" r:id="rId3"/>
    <sheet name="Orçamento jul-dez_2022 + 2023" sheetId="24" r:id="rId4"/>
    <sheet name="Real x orçado jul2022-jun2023" sheetId="23" r:id="rId5"/>
    <sheet name="Propostas 2024-2026" sheetId="25" r:id="rId6"/>
    <sheet name="Para consulta à comunidade" sheetId="26" r:id="rId7"/>
    <sheet name="Orçamento 2022-2 + 2023 (A)" sheetId="9" state="hidden" r:id="rId8"/>
    <sheet name="Orçamento 2022-2 + 2023 (B)" sheetId="10" state="hidden" r:id="rId9"/>
    <sheet name="Listas" sheetId="4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26" l="1"/>
  <c r="M53" i="26"/>
  <c r="E53" i="26"/>
  <c r="O52" i="26"/>
  <c r="M52" i="26"/>
  <c r="E52" i="26"/>
  <c r="O51" i="26"/>
  <c r="M51" i="26"/>
  <c r="E51" i="26"/>
  <c r="O47" i="26"/>
  <c r="C45" i="26"/>
  <c r="C51" i="26" s="1"/>
  <c r="S44" i="26"/>
  <c r="K44" i="26"/>
  <c r="I44" i="26"/>
  <c r="S43" i="26"/>
  <c r="K43" i="26"/>
  <c r="I43" i="26"/>
  <c r="S42" i="26"/>
  <c r="K42" i="26"/>
  <c r="I42" i="26"/>
  <c r="S41" i="26"/>
  <c r="K41" i="26"/>
  <c r="I41" i="26"/>
  <c r="W40" i="26"/>
  <c r="U40" i="26"/>
  <c r="Q40" i="26"/>
  <c r="S40" i="26" s="1"/>
  <c r="K40" i="26"/>
  <c r="I40" i="26"/>
  <c r="W39" i="26"/>
  <c r="U39" i="26"/>
  <c r="Q39" i="26"/>
  <c r="S39" i="26" s="1"/>
  <c r="K39" i="26"/>
  <c r="I39" i="26"/>
  <c r="S38" i="26"/>
  <c r="K38" i="26"/>
  <c r="I38" i="26"/>
  <c r="Q37" i="26"/>
  <c r="S37" i="26" s="1"/>
  <c r="K37" i="26"/>
  <c r="I37" i="26"/>
  <c r="S36" i="26"/>
  <c r="K36" i="26"/>
  <c r="I36" i="26"/>
  <c r="Q35" i="26"/>
  <c r="S35" i="26" s="1"/>
  <c r="K35" i="26"/>
  <c r="I35" i="26"/>
  <c r="W34" i="26"/>
  <c r="U34" i="26"/>
  <c r="S34" i="26"/>
  <c r="K34" i="26"/>
  <c r="I34" i="26"/>
  <c r="C31" i="26"/>
  <c r="C47" i="26" s="1"/>
  <c r="M28" i="26"/>
  <c r="M31" i="26" s="1"/>
  <c r="M47" i="26" s="1"/>
  <c r="K28" i="26"/>
  <c r="K31" i="26" s="1"/>
  <c r="I28" i="26"/>
  <c r="I31" i="26" s="1"/>
  <c r="O25" i="26"/>
  <c r="O49" i="26" s="1"/>
  <c r="C23" i="26"/>
  <c r="C25" i="26" s="1"/>
  <c r="Q22" i="26"/>
  <c r="S22" i="26" s="1"/>
  <c r="K22" i="26"/>
  <c r="I22" i="26"/>
  <c r="Q21" i="26"/>
  <c r="R21" i="26" s="1"/>
  <c r="U21" i="26" s="1"/>
  <c r="W21" i="26" s="1"/>
  <c r="K21" i="26"/>
  <c r="I21" i="26"/>
  <c r="Q20" i="26"/>
  <c r="S20" i="26" s="1"/>
  <c r="K20" i="26"/>
  <c r="I20" i="26"/>
  <c r="Q19" i="26"/>
  <c r="R19" i="26" s="1"/>
  <c r="U19" i="26" s="1"/>
  <c r="W19" i="26" s="1"/>
  <c r="K19" i="26"/>
  <c r="I19" i="26"/>
  <c r="Q18" i="26"/>
  <c r="S18" i="26" s="1"/>
  <c r="K18" i="26"/>
  <c r="I18" i="26"/>
  <c r="Q17" i="26"/>
  <c r="S17" i="26" s="1"/>
  <c r="K17" i="26"/>
  <c r="I17" i="26"/>
  <c r="Q16" i="26"/>
  <c r="R16" i="26" s="1"/>
  <c r="U16" i="26" s="1"/>
  <c r="W16" i="26" s="1"/>
  <c r="K16" i="26"/>
  <c r="I16" i="26"/>
  <c r="Q15" i="26"/>
  <c r="S15" i="26" s="1"/>
  <c r="K15" i="26"/>
  <c r="I15" i="26"/>
  <c r="Q14" i="26"/>
  <c r="S14" i="26" s="1"/>
  <c r="K14" i="26"/>
  <c r="I14" i="26"/>
  <c r="Q13" i="26"/>
  <c r="R13" i="26" s="1"/>
  <c r="U13" i="26" s="1"/>
  <c r="W13" i="26" s="1"/>
  <c r="K13" i="26"/>
  <c r="I13" i="26"/>
  <c r="U12" i="26"/>
  <c r="W12" i="26" s="1"/>
  <c r="S12" i="26"/>
  <c r="R12" i="26"/>
  <c r="K12" i="26"/>
  <c r="I12" i="26"/>
  <c r="Q11" i="26"/>
  <c r="R11" i="26" s="1"/>
  <c r="U11" i="26" s="1"/>
  <c r="W11" i="26" s="1"/>
  <c r="K11" i="26"/>
  <c r="I11" i="26"/>
  <c r="Q10" i="26"/>
  <c r="S10" i="26" s="1"/>
  <c r="K10" i="26"/>
  <c r="I10" i="26"/>
  <c r="M4" i="26"/>
  <c r="M7" i="26" s="1"/>
  <c r="M25" i="26" s="1"/>
  <c r="K4" i="26"/>
  <c r="K7" i="26" s="1"/>
  <c r="I4" i="26"/>
  <c r="I7" i="26" s="1"/>
  <c r="W23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10" i="25"/>
  <c r="U10" i="25"/>
  <c r="U11" i="25"/>
  <c r="W40" i="25"/>
  <c r="W39" i="25"/>
  <c r="W34" i="25"/>
  <c r="R12" i="25"/>
  <c r="U12" i="25" s="1"/>
  <c r="R13" i="25"/>
  <c r="U13" i="25" s="1"/>
  <c r="U40" i="25"/>
  <c r="U39" i="25"/>
  <c r="U34" i="25"/>
  <c r="O53" i="25"/>
  <c r="O52" i="25"/>
  <c r="O51" i="25"/>
  <c r="M53" i="25"/>
  <c r="M52" i="25"/>
  <c r="M51" i="25"/>
  <c r="E53" i="25"/>
  <c r="E52" i="25"/>
  <c r="E51" i="25"/>
  <c r="S36" i="25"/>
  <c r="S38" i="25"/>
  <c r="S41" i="25"/>
  <c r="S42" i="25"/>
  <c r="S43" i="25"/>
  <c r="S44" i="25"/>
  <c r="S34" i="25"/>
  <c r="S12" i="25"/>
  <c r="Q40" i="25"/>
  <c r="S40" i="25" s="1"/>
  <c r="Q39" i="25"/>
  <c r="S39" i="25" s="1"/>
  <c r="Q37" i="25"/>
  <c r="S37" i="25" s="1"/>
  <c r="Q35" i="25"/>
  <c r="S35" i="25" s="1"/>
  <c r="Q22" i="25"/>
  <c r="R22" i="25" s="1"/>
  <c r="U22" i="25" s="1"/>
  <c r="Q21" i="25"/>
  <c r="S21" i="25" s="1"/>
  <c r="Q20" i="25"/>
  <c r="S20" i="25" s="1"/>
  <c r="Q19" i="25"/>
  <c r="S19" i="25" s="1"/>
  <c r="Q18" i="25"/>
  <c r="S18" i="25" s="1"/>
  <c r="Q17" i="25"/>
  <c r="S17" i="25" s="1"/>
  <c r="Q16" i="25"/>
  <c r="S16" i="25" s="1"/>
  <c r="Q15" i="25"/>
  <c r="S15" i="25" s="1"/>
  <c r="Q14" i="25"/>
  <c r="S14" i="25" s="1"/>
  <c r="Q13" i="25"/>
  <c r="S13" i="25" s="1"/>
  <c r="Q10" i="25"/>
  <c r="R10" i="25" s="1"/>
  <c r="Q11" i="25"/>
  <c r="S11" i="25" s="1"/>
  <c r="M28" i="25"/>
  <c r="M31" i="25" s="1"/>
  <c r="M47" i="25" s="1"/>
  <c r="M4" i="25"/>
  <c r="M7" i="25" s="1"/>
  <c r="M25" i="25" s="1"/>
  <c r="K28" i="25"/>
  <c r="K31" i="25" s="1"/>
  <c r="I28" i="25"/>
  <c r="I31" i="25" s="1"/>
  <c r="K44" i="25"/>
  <c r="I44" i="25"/>
  <c r="K41" i="25"/>
  <c r="K43" i="25"/>
  <c r="I43" i="25"/>
  <c r="K42" i="25"/>
  <c r="I42" i="25"/>
  <c r="I41" i="25"/>
  <c r="K40" i="25"/>
  <c r="I40" i="25"/>
  <c r="K39" i="25"/>
  <c r="I39" i="25"/>
  <c r="K38" i="25"/>
  <c r="K35" i="25"/>
  <c r="I35" i="25"/>
  <c r="K36" i="25"/>
  <c r="I36" i="25"/>
  <c r="I37" i="25"/>
  <c r="I38" i="25"/>
  <c r="K37" i="25"/>
  <c r="K34" i="25"/>
  <c r="I34" i="25"/>
  <c r="I17" i="25"/>
  <c r="I16" i="25"/>
  <c r="K22" i="25"/>
  <c r="I22" i="25"/>
  <c r="K21" i="25"/>
  <c r="I21" i="25"/>
  <c r="K20" i="25"/>
  <c r="I20" i="25"/>
  <c r="K19" i="25"/>
  <c r="I19" i="25"/>
  <c r="K18" i="25"/>
  <c r="I18" i="25"/>
  <c r="K17" i="25"/>
  <c r="K16" i="25"/>
  <c r="K15" i="25"/>
  <c r="I15" i="25"/>
  <c r="K14" i="25"/>
  <c r="I14" i="25"/>
  <c r="K13" i="25"/>
  <c r="I13" i="25"/>
  <c r="K12" i="25"/>
  <c r="I12" i="25"/>
  <c r="I11" i="25"/>
  <c r="I10" i="25"/>
  <c r="K11" i="25"/>
  <c r="K10" i="25"/>
  <c r="I4" i="25"/>
  <c r="I7" i="25" s="1"/>
  <c r="K4" i="25"/>
  <c r="K7" i="25" s="1"/>
  <c r="C45" i="25"/>
  <c r="C52" i="25" s="1"/>
  <c r="C31" i="25"/>
  <c r="C23" i="25"/>
  <c r="C25" i="25" s="1"/>
  <c r="P5" i="23"/>
  <c r="T5" i="23" s="1"/>
  <c r="R43" i="23"/>
  <c r="R42" i="23"/>
  <c r="R41" i="23"/>
  <c r="R40" i="23"/>
  <c r="R39" i="23"/>
  <c r="R38" i="23"/>
  <c r="R37" i="23"/>
  <c r="R36" i="23"/>
  <c r="R35" i="23"/>
  <c r="R34" i="23"/>
  <c r="R33" i="23"/>
  <c r="R27" i="23"/>
  <c r="P34" i="23"/>
  <c r="T34" i="23" s="1"/>
  <c r="P35" i="23"/>
  <c r="T35" i="23" s="1"/>
  <c r="P36" i="23"/>
  <c r="T36" i="23" s="1"/>
  <c r="P37" i="23"/>
  <c r="T37" i="23" s="1"/>
  <c r="P38" i="23"/>
  <c r="T38" i="23" s="1"/>
  <c r="P39" i="23"/>
  <c r="T39" i="23" s="1"/>
  <c r="P40" i="23"/>
  <c r="T40" i="23" s="1"/>
  <c r="P41" i="23"/>
  <c r="T41" i="23" s="1"/>
  <c r="P42" i="23"/>
  <c r="T42" i="23" s="1"/>
  <c r="P43" i="23"/>
  <c r="T43" i="23" s="1"/>
  <c r="P33" i="23"/>
  <c r="T33" i="23" s="1"/>
  <c r="P28" i="23"/>
  <c r="T28" i="23" s="1"/>
  <c r="P29" i="23"/>
  <c r="P27" i="23"/>
  <c r="T27" i="23" s="1"/>
  <c r="P10" i="23"/>
  <c r="T10" i="23" s="1"/>
  <c r="P11" i="23"/>
  <c r="R11" i="23" s="1"/>
  <c r="P12" i="23"/>
  <c r="R12" i="23" s="1"/>
  <c r="P13" i="23"/>
  <c r="R13" i="23" s="1"/>
  <c r="P14" i="23"/>
  <c r="R14" i="23" s="1"/>
  <c r="P15" i="23"/>
  <c r="T15" i="23" s="1"/>
  <c r="P16" i="23"/>
  <c r="R16" i="23" s="1"/>
  <c r="P17" i="23"/>
  <c r="R17" i="23" s="1"/>
  <c r="P18" i="23"/>
  <c r="R18" i="23" s="1"/>
  <c r="P19" i="23"/>
  <c r="R19" i="23" s="1"/>
  <c r="P20" i="23"/>
  <c r="R20" i="23" s="1"/>
  <c r="P21" i="23"/>
  <c r="R21" i="23" s="1"/>
  <c r="P9" i="23"/>
  <c r="T9" i="23" s="1"/>
  <c r="P4" i="23"/>
  <c r="T4" i="23" s="1"/>
  <c r="P3" i="23"/>
  <c r="T3" i="23" s="1"/>
  <c r="F46" i="24"/>
  <c r="F44" i="24"/>
  <c r="H43" i="24"/>
  <c r="H41" i="24"/>
  <c r="H42" i="24" s="1"/>
  <c r="H39" i="24"/>
  <c r="G38" i="24"/>
  <c r="H37" i="24"/>
  <c r="G35" i="24"/>
  <c r="G44" i="24" s="1"/>
  <c r="H34" i="24"/>
  <c r="H33" i="24"/>
  <c r="H30" i="24"/>
  <c r="I28" i="24" s="1"/>
  <c r="G30" i="24"/>
  <c r="F30" i="24"/>
  <c r="H28" i="24"/>
  <c r="H27" i="24"/>
  <c r="G22" i="24"/>
  <c r="F22" i="24"/>
  <c r="H21" i="24"/>
  <c r="F20" i="24"/>
  <c r="H20" i="24" s="1"/>
  <c r="H19" i="24"/>
  <c r="H18" i="24"/>
  <c r="H17" i="24"/>
  <c r="H14" i="24"/>
  <c r="H13" i="24"/>
  <c r="F12" i="24"/>
  <c r="H12" i="24" s="1"/>
  <c r="H10" i="24"/>
  <c r="H9" i="24"/>
  <c r="G6" i="24"/>
  <c r="G24" i="24" s="1"/>
  <c r="F6" i="24"/>
  <c r="F24" i="24" s="1"/>
  <c r="F48" i="24" s="1"/>
  <c r="H5" i="24"/>
  <c r="H3" i="24"/>
  <c r="H6" i="24" s="1"/>
  <c r="U45" i="26" l="1"/>
  <c r="U47" i="26" s="1"/>
  <c r="W45" i="26"/>
  <c r="W47" i="26" s="1"/>
  <c r="W49" i="26" s="1"/>
  <c r="S19" i="26"/>
  <c r="I23" i="26"/>
  <c r="I25" i="26" s="1"/>
  <c r="R18" i="26"/>
  <c r="U18" i="26" s="1"/>
  <c r="W18" i="26" s="1"/>
  <c r="R20" i="26"/>
  <c r="U20" i="26" s="1"/>
  <c r="W20" i="26" s="1"/>
  <c r="I45" i="26"/>
  <c r="I47" i="26" s="1"/>
  <c r="S21" i="26"/>
  <c r="S11" i="26"/>
  <c r="S13" i="26"/>
  <c r="Q45" i="26"/>
  <c r="Q53" i="26" s="1"/>
  <c r="C49" i="26"/>
  <c r="K45" i="26"/>
  <c r="K52" i="26" s="1"/>
  <c r="I52" i="26"/>
  <c r="K23" i="26"/>
  <c r="K25" i="26"/>
  <c r="M49" i="26"/>
  <c r="I51" i="26"/>
  <c r="S45" i="26"/>
  <c r="S52" i="26" s="1"/>
  <c r="C53" i="26"/>
  <c r="R10" i="26"/>
  <c r="U10" i="26" s="1"/>
  <c r="R17" i="26"/>
  <c r="U17" i="26" s="1"/>
  <c r="W17" i="26" s="1"/>
  <c r="C52" i="26"/>
  <c r="R15" i="26"/>
  <c r="U15" i="26" s="1"/>
  <c r="W15" i="26" s="1"/>
  <c r="S16" i="26"/>
  <c r="Q23" i="26"/>
  <c r="Q25" i="26" s="1"/>
  <c r="R14" i="26"/>
  <c r="U14" i="26" s="1"/>
  <c r="W14" i="26" s="1"/>
  <c r="R22" i="26"/>
  <c r="U22" i="26" s="1"/>
  <c r="W22" i="26" s="1"/>
  <c r="T30" i="23"/>
  <c r="T12" i="23"/>
  <c r="T19" i="23"/>
  <c r="T18" i="23"/>
  <c r="T17" i="23"/>
  <c r="T20" i="23"/>
  <c r="T11" i="23"/>
  <c r="T16" i="23"/>
  <c r="T14" i="23"/>
  <c r="T21" i="23"/>
  <c r="T13" i="23"/>
  <c r="W45" i="25"/>
  <c r="W47" i="25" s="1"/>
  <c r="W49" i="25" s="1"/>
  <c r="S10" i="25"/>
  <c r="S22" i="25"/>
  <c r="R21" i="25"/>
  <c r="U21" i="25" s="1"/>
  <c r="R18" i="25"/>
  <c r="U18" i="25" s="1"/>
  <c r="R20" i="25"/>
  <c r="U20" i="25" s="1"/>
  <c r="R11" i="25"/>
  <c r="R17" i="25"/>
  <c r="U17" i="25" s="1"/>
  <c r="C53" i="25"/>
  <c r="R16" i="25"/>
  <c r="U16" i="25" s="1"/>
  <c r="R19" i="25"/>
  <c r="U19" i="25" s="1"/>
  <c r="R15" i="25"/>
  <c r="U15" i="25" s="1"/>
  <c r="R14" i="25"/>
  <c r="U14" i="25" s="1"/>
  <c r="C51" i="25"/>
  <c r="S45" i="25"/>
  <c r="S52" i="25" s="1"/>
  <c r="U45" i="25"/>
  <c r="Q45" i="25"/>
  <c r="Q47" i="25" s="1"/>
  <c r="S23" i="25"/>
  <c r="S25" i="25" s="1"/>
  <c r="Q23" i="25"/>
  <c r="Q25" i="25" s="1"/>
  <c r="I45" i="25"/>
  <c r="I51" i="25" s="1"/>
  <c r="K45" i="25"/>
  <c r="K47" i="25" s="1"/>
  <c r="K23" i="25"/>
  <c r="K25" i="25" s="1"/>
  <c r="O47" i="25"/>
  <c r="O25" i="25"/>
  <c r="M49" i="25"/>
  <c r="I23" i="25"/>
  <c r="I25" i="25" s="1"/>
  <c r="C47" i="25"/>
  <c r="T6" i="23"/>
  <c r="T44" i="23"/>
  <c r="R3" i="23"/>
  <c r="R10" i="23"/>
  <c r="R15" i="23"/>
  <c r="P30" i="23"/>
  <c r="P6" i="23"/>
  <c r="I4" i="24"/>
  <c r="I6" i="24"/>
  <c r="I5" i="24"/>
  <c r="G48" i="24"/>
  <c r="G46" i="24"/>
  <c r="H22" i="24"/>
  <c r="H44" i="24"/>
  <c r="I3" i="24"/>
  <c r="I30" i="24"/>
  <c r="I27" i="24"/>
  <c r="I29" i="24"/>
  <c r="S23" i="26" l="1"/>
  <c r="S25" i="26" s="1"/>
  <c r="I53" i="26"/>
  <c r="K47" i="26"/>
  <c r="K49" i="26" s="1"/>
  <c r="I49" i="26"/>
  <c r="K51" i="26"/>
  <c r="Q52" i="26"/>
  <c r="Q51" i="26"/>
  <c r="Q47" i="26"/>
  <c r="Q49" i="26" s="1"/>
  <c r="K53" i="26"/>
  <c r="U23" i="26"/>
  <c r="U25" i="26" s="1"/>
  <c r="U49" i="26" s="1"/>
  <c r="W10" i="26"/>
  <c r="W23" i="26" s="1"/>
  <c r="S53" i="26"/>
  <c r="S47" i="26"/>
  <c r="S49" i="26" s="1"/>
  <c r="S51" i="26"/>
  <c r="T46" i="23"/>
  <c r="U23" i="25"/>
  <c r="U25" i="25" s="1"/>
  <c r="K52" i="25"/>
  <c r="K51" i="25"/>
  <c r="S47" i="25"/>
  <c r="S53" i="25"/>
  <c r="I47" i="25"/>
  <c r="I49" i="25" s="1"/>
  <c r="I53" i="25"/>
  <c r="S51" i="25"/>
  <c r="Q52" i="25"/>
  <c r="Q51" i="25"/>
  <c r="K53" i="25"/>
  <c r="Q49" i="25"/>
  <c r="Q53" i="25"/>
  <c r="I52" i="25"/>
  <c r="U47" i="25"/>
  <c r="S49" i="25"/>
  <c r="K49" i="25"/>
  <c r="O49" i="25"/>
  <c r="C49" i="25"/>
  <c r="T22" i="23"/>
  <c r="T24" i="23" s="1"/>
  <c r="I18" i="24"/>
  <c r="I9" i="24"/>
  <c r="I16" i="24"/>
  <c r="I19" i="24"/>
  <c r="I10" i="24"/>
  <c r="I17" i="24"/>
  <c r="I22" i="24"/>
  <c r="I15" i="24"/>
  <c r="I11" i="24"/>
  <c r="I14" i="24"/>
  <c r="I13" i="24"/>
  <c r="I40" i="24"/>
  <c r="I35" i="24"/>
  <c r="I36" i="24"/>
  <c r="I38" i="24"/>
  <c r="I37" i="24"/>
  <c r="I44" i="24"/>
  <c r="I43" i="24"/>
  <c r="I33" i="24"/>
  <c r="I21" i="24"/>
  <c r="I20" i="24"/>
  <c r="I34" i="24"/>
  <c r="H46" i="24"/>
  <c r="H24" i="24"/>
  <c r="H48" i="24" s="1"/>
  <c r="I41" i="24"/>
  <c r="I39" i="24"/>
  <c r="I42" i="24"/>
  <c r="I12" i="24"/>
  <c r="U49" i="25" l="1"/>
  <c r="T48" i="23"/>
  <c r="L46" i="23" l="1"/>
  <c r="N44" i="23"/>
  <c r="J44" i="23"/>
  <c r="H44" i="23"/>
  <c r="F44" i="23"/>
  <c r="N30" i="23"/>
  <c r="J30" i="23"/>
  <c r="H30" i="23"/>
  <c r="F30" i="23"/>
  <c r="L24" i="23"/>
  <c r="N22" i="23"/>
  <c r="J22" i="23"/>
  <c r="H22" i="23"/>
  <c r="F22" i="23"/>
  <c r="F24" i="23" s="1"/>
  <c r="R9" i="23"/>
  <c r="P22" i="23"/>
  <c r="R6" i="23"/>
  <c r="N6" i="23"/>
  <c r="J6" i="23"/>
  <c r="H6" i="23"/>
  <c r="L48" i="23" l="1"/>
  <c r="R44" i="23"/>
  <c r="R30" i="23"/>
  <c r="R22" i="23"/>
  <c r="H46" i="23"/>
  <c r="C12" i="23" s="1"/>
  <c r="J46" i="23"/>
  <c r="P44" i="23"/>
  <c r="P46" i="23" s="1"/>
  <c r="N46" i="23"/>
  <c r="H24" i="23"/>
  <c r="J24" i="23"/>
  <c r="N24" i="23"/>
  <c r="F46" i="23"/>
  <c r="P24" i="23"/>
  <c r="R24" i="23" s="1"/>
  <c r="C11" i="23" l="1"/>
  <c r="H48" i="23"/>
  <c r="J48" i="23"/>
  <c r="N48" i="23"/>
  <c r="F48" i="23"/>
  <c r="R46" i="23"/>
  <c r="P48" i="23"/>
  <c r="R48" i="23" l="1"/>
  <c r="C20" i="10"/>
  <c r="I44" i="10"/>
  <c r="I22" i="10"/>
  <c r="I34" i="10"/>
  <c r="I35" i="10"/>
  <c r="I36" i="10"/>
  <c r="I37" i="10"/>
  <c r="I38" i="10"/>
  <c r="I39" i="10"/>
  <c r="I40" i="10"/>
  <c r="I41" i="10"/>
  <c r="I42" i="10"/>
  <c r="I43" i="10"/>
  <c r="I33" i="10"/>
  <c r="I28" i="10"/>
  <c r="I29" i="10"/>
  <c r="I27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9" i="10"/>
  <c r="H41" i="10"/>
  <c r="H42" i="10" s="1"/>
  <c r="H34" i="10"/>
  <c r="H33" i="10"/>
  <c r="F44" i="10"/>
  <c r="H39" i="10"/>
  <c r="H43" i="10" s="1"/>
  <c r="G38" i="10"/>
  <c r="H37" i="10"/>
  <c r="G35" i="10"/>
  <c r="G44" i="10" s="1"/>
  <c r="H28" i="10"/>
  <c r="F27" i="10"/>
  <c r="F30" i="10" s="1"/>
  <c r="F46" i="10" s="1"/>
  <c r="G22" i="10"/>
  <c r="H21" i="10"/>
  <c r="H20" i="10"/>
  <c r="F20" i="10"/>
  <c r="H19" i="10"/>
  <c r="H18" i="10"/>
  <c r="F18" i="10"/>
  <c r="H17" i="10"/>
  <c r="H14" i="10"/>
  <c r="H13" i="10"/>
  <c r="F12" i="10"/>
  <c r="F22" i="10" s="1"/>
  <c r="H10" i="10"/>
  <c r="H9" i="10"/>
  <c r="H5" i="10"/>
  <c r="F4" i="10"/>
  <c r="F6" i="10" s="1"/>
  <c r="F3" i="10"/>
  <c r="H34" i="9"/>
  <c r="H5" i="9"/>
  <c r="H12" i="10" l="1"/>
  <c r="H22" i="10"/>
  <c r="H44" i="10"/>
  <c r="F24" i="10"/>
  <c r="F48" i="10" s="1"/>
  <c r="H27" i="10"/>
  <c r="H30" i="10" s="1"/>
  <c r="H28" i="9"/>
  <c r="H41" i="9"/>
  <c r="H39" i="9"/>
  <c r="H37" i="9"/>
  <c r="H10" i="9"/>
  <c r="H9" i="9"/>
  <c r="H21" i="9"/>
  <c r="H19" i="9"/>
  <c r="H18" i="9"/>
  <c r="H17" i="9"/>
  <c r="H14" i="9"/>
  <c r="H13" i="9"/>
  <c r="G38" i="9"/>
  <c r="H38" i="9" s="1"/>
  <c r="G35" i="9"/>
  <c r="F44" i="9"/>
  <c r="F27" i="9"/>
  <c r="H27" i="9" s="1"/>
  <c r="F4" i="9"/>
  <c r="F18" i="9"/>
  <c r="F20" i="9"/>
  <c r="H20" i="9" s="1"/>
  <c r="F12" i="9"/>
  <c r="J26" i="2"/>
  <c r="F3" i="9"/>
  <c r="L10" i="2"/>
  <c r="L38" i="2"/>
  <c r="L30" i="2"/>
  <c r="L43" i="2"/>
  <c r="L48" i="2"/>
  <c r="M20" i="2"/>
  <c r="E88" i="2"/>
  <c r="G3" i="10" s="1"/>
  <c r="H3" i="10" s="1"/>
  <c r="E93" i="2"/>
  <c r="G4" i="10" s="1"/>
  <c r="J20" i="2"/>
  <c r="J28" i="2"/>
  <c r="B23" i="4"/>
  <c r="B24" i="4"/>
  <c r="B22" i="4"/>
  <c r="B20" i="4"/>
  <c r="B21" i="4"/>
  <c r="B19" i="4"/>
  <c r="B15" i="4"/>
  <c r="B16" i="4"/>
  <c r="B17" i="4"/>
  <c r="B18" i="4"/>
  <c r="B14" i="4"/>
  <c r="B3" i="4"/>
  <c r="B4" i="4"/>
  <c r="B5" i="4"/>
  <c r="B6" i="4"/>
  <c r="B7" i="4"/>
  <c r="B8" i="4"/>
  <c r="B9" i="4"/>
  <c r="B10" i="4"/>
  <c r="B11" i="4"/>
  <c r="B12" i="4"/>
  <c r="B13" i="4"/>
  <c r="B2" i="4"/>
  <c r="G6" i="10" l="1"/>
  <c r="G24" i="10" s="1"/>
  <c r="G3" i="9"/>
  <c r="H3" i="9" s="1"/>
  <c r="H6" i="9" s="1"/>
  <c r="G4" i="9"/>
  <c r="H6" i="10"/>
  <c r="I3" i="10" s="1"/>
  <c r="I27" i="9"/>
  <c r="H42" i="9"/>
  <c r="I28" i="9"/>
  <c r="I21" i="9"/>
  <c r="H43" i="9"/>
  <c r="H44" i="9" s="1"/>
  <c r="H46" i="10"/>
  <c r="F30" i="9"/>
  <c r="F46" i="9" s="1"/>
  <c r="H30" i="9"/>
  <c r="H22" i="9"/>
  <c r="G22" i="9"/>
  <c r="G44" i="9"/>
  <c r="F6" i="9"/>
  <c r="F22" i="9"/>
  <c r="L50" i="2"/>
  <c r="K18" i="2"/>
  <c r="M18" i="2" s="1"/>
  <c r="K19" i="2"/>
  <c r="M19" i="2" s="1"/>
  <c r="K46" i="2"/>
  <c r="M46" i="2" s="1"/>
  <c r="K45" i="2"/>
  <c r="M45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21" i="2"/>
  <c r="M21" i="2" s="1"/>
  <c r="G6" i="9" l="1"/>
  <c r="I3" i="9"/>
  <c r="I4" i="10"/>
  <c r="I5" i="10"/>
  <c r="I30" i="10"/>
  <c r="I6" i="10"/>
  <c r="H24" i="10"/>
  <c r="H48" i="10" s="1"/>
  <c r="I33" i="9"/>
  <c r="I40" i="9"/>
  <c r="I36" i="9"/>
  <c r="I35" i="9"/>
  <c r="I44" i="9"/>
  <c r="I34" i="9"/>
  <c r="I39" i="9"/>
  <c r="I37" i="9"/>
  <c r="I41" i="9"/>
  <c r="I38" i="9"/>
  <c r="H24" i="9"/>
  <c r="I11" i="9"/>
  <c r="I15" i="9"/>
  <c r="I22" i="9"/>
  <c r="I16" i="9"/>
  <c r="I12" i="9"/>
  <c r="I30" i="9"/>
  <c r="I29" i="9"/>
  <c r="I14" i="9"/>
  <c r="I42" i="9"/>
  <c r="I20" i="9"/>
  <c r="I19" i="9"/>
  <c r="I17" i="9"/>
  <c r="I18" i="9"/>
  <c r="I10" i="9"/>
  <c r="I43" i="9"/>
  <c r="I13" i="9"/>
  <c r="I9" i="9"/>
  <c r="I4" i="9"/>
  <c r="I6" i="9"/>
  <c r="I5" i="9"/>
  <c r="G24" i="9"/>
  <c r="H46" i="9"/>
  <c r="F24" i="9"/>
  <c r="F48" i="9" s="1"/>
  <c r="K41" i="2"/>
  <c r="K34" i="2"/>
  <c r="K40" i="2"/>
  <c r="K29" i="2"/>
  <c r="D88" i="2"/>
  <c r="E85" i="2"/>
  <c r="E84" i="2"/>
  <c r="E83" i="2"/>
  <c r="E82" i="2"/>
  <c r="E81" i="2"/>
  <c r="E80" i="2"/>
  <c r="E79" i="2"/>
  <c r="E78" i="2"/>
  <c r="E77" i="2"/>
  <c r="E76" i="2"/>
  <c r="E73" i="2"/>
  <c r="E72" i="2"/>
  <c r="E71" i="2"/>
  <c r="E70" i="2"/>
  <c r="E69" i="2"/>
  <c r="E68" i="2"/>
  <c r="E67" i="2"/>
  <c r="E66" i="2"/>
  <c r="E65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39" i="2"/>
  <c r="E40" i="2"/>
  <c r="E41" i="2"/>
  <c r="E38" i="2"/>
  <c r="E35" i="2"/>
  <c r="E34" i="2"/>
  <c r="E33" i="2"/>
  <c r="E32" i="2"/>
  <c r="E27" i="2"/>
  <c r="E28" i="2"/>
  <c r="E29" i="2"/>
  <c r="E26" i="2"/>
  <c r="E21" i="2"/>
  <c r="E22" i="2"/>
  <c r="E23" i="2"/>
  <c r="E20" i="2"/>
  <c r="E91" i="2"/>
  <c r="F93" i="2"/>
  <c r="A57" i="4"/>
  <c r="A58" i="4"/>
  <c r="A59" i="4"/>
  <c r="A56" i="4"/>
  <c r="A47" i="4"/>
  <c r="A48" i="4"/>
  <c r="A49" i="4"/>
  <c r="A50" i="4"/>
  <c r="A51" i="4"/>
  <c r="A52" i="4"/>
  <c r="A53" i="4"/>
  <c r="A54" i="4"/>
  <c r="A55" i="4"/>
  <c r="A46" i="4"/>
  <c r="A38" i="4"/>
  <c r="A39" i="4"/>
  <c r="A40" i="4"/>
  <c r="A41" i="4"/>
  <c r="A42" i="4"/>
  <c r="A43" i="4"/>
  <c r="A44" i="4"/>
  <c r="A45" i="4"/>
  <c r="A37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18" i="4"/>
  <c r="A15" i="4"/>
  <c r="A16" i="4"/>
  <c r="A17" i="4"/>
  <c r="A14" i="4"/>
  <c r="A11" i="4"/>
  <c r="A12" i="4"/>
  <c r="A13" i="4"/>
  <c r="A10" i="4"/>
  <c r="A7" i="4"/>
  <c r="A8" i="4"/>
  <c r="A9" i="4"/>
  <c r="A6" i="4"/>
  <c r="A3" i="4"/>
  <c r="A4" i="4"/>
  <c r="A5" i="4"/>
  <c r="A2" i="4"/>
  <c r="D85" i="2"/>
  <c r="D84" i="2"/>
  <c r="D83" i="2"/>
  <c r="D82" i="2"/>
  <c r="D81" i="2"/>
  <c r="D80" i="2"/>
  <c r="D79" i="2"/>
  <c r="D78" i="2"/>
  <c r="D77" i="2"/>
  <c r="D76" i="2"/>
  <c r="D73" i="2"/>
  <c r="D72" i="2"/>
  <c r="D71" i="2"/>
  <c r="D70" i="2"/>
  <c r="D69" i="2"/>
  <c r="D68" i="2"/>
  <c r="D67" i="2"/>
  <c r="D66" i="2"/>
  <c r="D65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F62" i="2" s="1"/>
  <c r="D44" i="2"/>
  <c r="D41" i="2"/>
  <c r="D40" i="2"/>
  <c r="D39" i="2"/>
  <c r="D38" i="2"/>
  <c r="D33" i="2"/>
  <c r="D34" i="2"/>
  <c r="D35" i="2"/>
  <c r="D32" i="2"/>
  <c r="D27" i="2"/>
  <c r="D28" i="2"/>
  <c r="D29" i="2"/>
  <c r="D26" i="2"/>
  <c r="D21" i="2"/>
  <c r="D22" i="2"/>
  <c r="D23" i="2"/>
  <c r="D20" i="2"/>
  <c r="E94" i="2"/>
  <c r="F94" i="2" s="1"/>
  <c r="E92" i="2"/>
  <c r="J48" i="2"/>
  <c r="J43" i="2"/>
  <c r="J38" i="2"/>
  <c r="D95" i="2"/>
  <c r="D97" i="2" s="1"/>
  <c r="F92" i="2" l="1"/>
  <c r="G27" i="10"/>
  <c r="G30" i="10" s="1"/>
  <c r="G46" i="10" s="1"/>
  <c r="G48" i="10" s="1"/>
  <c r="G27" i="9"/>
  <c r="G30" i="9" s="1"/>
  <c r="G46" i="9" s="1"/>
  <c r="G48" i="9" s="1"/>
  <c r="H48" i="9"/>
  <c r="M40" i="2"/>
  <c r="M34" i="2"/>
  <c r="M41" i="2"/>
  <c r="M29" i="2"/>
  <c r="F35" i="2"/>
  <c r="F61" i="2"/>
  <c r="K30" i="2"/>
  <c r="F53" i="2"/>
  <c r="F45" i="2"/>
  <c r="F82" i="2"/>
  <c r="J30" i="2"/>
  <c r="J50" i="2" s="1"/>
  <c r="F67" i="2"/>
  <c r="F59" i="2"/>
  <c r="F51" i="2"/>
  <c r="F81" i="2"/>
  <c r="F70" i="2"/>
  <c r="F34" i="2"/>
  <c r="F54" i="2"/>
  <c r="F58" i="2"/>
  <c r="F50" i="2"/>
  <c r="F47" i="2"/>
  <c r="F84" i="2"/>
  <c r="F72" i="2"/>
  <c r="F55" i="2"/>
  <c r="F46" i="2"/>
  <c r="F56" i="2"/>
  <c r="F69" i="2"/>
  <c r="F79" i="2"/>
  <c r="F48" i="2"/>
  <c r="F44" i="2"/>
  <c r="F80" i="2"/>
  <c r="F71" i="2"/>
  <c r="F83" i="2"/>
  <c r="F76" i="2"/>
  <c r="F57" i="2"/>
  <c r="F49" i="2"/>
  <c r="F33" i="2"/>
  <c r="K42" i="2" s="1"/>
  <c r="F85" i="2"/>
  <c r="F77" i="2"/>
  <c r="F78" i="2"/>
  <c r="F73" i="2"/>
  <c r="F66" i="2"/>
  <c r="F65" i="2"/>
  <c r="F68" i="2"/>
  <c r="F60" i="2"/>
  <c r="F52" i="2"/>
  <c r="F39" i="2"/>
  <c r="F40" i="2"/>
  <c r="F41" i="2"/>
  <c r="F27" i="2"/>
  <c r="K36" i="2" s="1"/>
  <c r="F29" i="2"/>
  <c r="F28" i="2"/>
  <c r="K37" i="2" s="1"/>
  <c r="F26" i="2"/>
  <c r="K35" i="2" s="1"/>
  <c r="F22" i="2"/>
  <c r="F21" i="2"/>
  <c r="F23" i="2"/>
  <c r="E86" i="2"/>
  <c r="G77" i="2" s="1"/>
  <c r="E95" i="2"/>
  <c r="E97" i="2" s="1"/>
  <c r="E63" i="2"/>
  <c r="G46" i="2" s="1"/>
  <c r="E74" i="2"/>
  <c r="G69" i="2" s="1"/>
  <c r="E36" i="2"/>
  <c r="G35" i="2" s="1"/>
  <c r="E42" i="2"/>
  <c r="G39" i="2" s="1"/>
  <c r="F91" i="2"/>
  <c r="F38" i="2"/>
  <c r="K47" i="2" s="1"/>
  <c r="F32" i="2"/>
  <c r="E30" i="2"/>
  <c r="E24" i="2"/>
  <c r="G21" i="2" s="1"/>
  <c r="F20" i="2"/>
  <c r="M35" i="2" l="1"/>
  <c r="M47" i="2"/>
  <c r="M36" i="2"/>
  <c r="M30" i="2"/>
  <c r="M42" i="2"/>
  <c r="M37" i="2"/>
  <c r="D16" i="2"/>
  <c r="K43" i="2"/>
  <c r="K48" i="2"/>
  <c r="G80" i="2"/>
  <c r="G76" i="2"/>
  <c r="G82" i="2"/>
  <c r="G85" i="2"/>
  <c r="G83" i="2"/>
  <c r="G78" i="2"/>
  <c r="G79" i="2"/>
  <c r="G32" i="2"/>
  <c r="G57" i="2"/>
  <c r="G58" i="2"/>
  <c r="G84" i="2"/>
  <c r="G59" i="2"/>
  <c r="G40" i="2"/>
  <c r="G41" i="2"/>
  <c r="G38" i="2"/>
  <c r="F95" i="2"/>
  <c r="G28" i="2"/>
  <c r="G29" i="2"/>
  <c r="G67" i="2"/>
  <c r="G68" i="2"/>
  <c r="G56" i="2"/>
  <c r="F86" i="2"/>
  <c r="G66" i="2"/>
  <c r="G45" i="2"/>
  <c r="G26" i="2"/>
  <c r="F74" i="2"/>
  <c r="F63" i="2"/>
  <c r="G47" i="2"/>
  <c r="G52" i="2"/>
  <c r="G61" i="2"/>
  <c r="G62" i="2"/>
  <c r="G55" i="2"/>
  <c r="F42" i="2"/>
  <c r="G71" i="2"/>
  <c r="G72" i="2"/>
  <c r="G73" i="2"/>
  <c r="G60" i="2"/>
  <c r="G34" i="2"/>
  <c r="G44" i="2"/>
  <c r="G81" i="2"/>
  <c r="F24" i="2"/>
  <c r="G48" i="2"/>
  <c r="G70" i="2"/>
  <c r="G65" i="2"/>
  <c r="G53" i="2"/>
  <c r="G54" i="2"/>
  <c r="G27" i="2"/>
  <c r="F36" i="2"/>
  <c r="G49" i="2"/>
  <c r="G50" i="2"/>
  <c r="G51" i="2"/>
  <c r="G33" i="2"/>
  <c r="G22" i="2"/>
  <c r="G20" i="2"/>
  <c r="G23" i="2"/>
  <c r="G88" i="2"/>
  <c r="F30" i="2"/>
  <c r="D15" i="2"/>
  <c r="M48" i="2" l="1"/>
  <c r="M43" i="2"/>
  <c r="K33" i="2"/>
  <c r="E15" i="2"/>
  <c r="G93" i="2"/>
  <c r="G91" i="2"/>
  <c r="G94" i="2"/>
  <c r="G92" i="2"/>
  <c r="G42" i="2"/>
  <c r="G63" i="2"/>
  <c r="G36" i="2"/>
  <c r="G74" i="2"/>
  <c r="G86" i="2"/>
  <c r="G24" i="2"/>
  <c r="G30" i="2"/>
  <c r="F97" i="2"/>
  <c r="M33" i="2" l="1"/>
  <c r="F15" i="2"/>
  <c r="K38" i="2"/>
  <c r="M38" i="2" l="1"/>
  <c r="K50" i="2"/>
  <c r="N20" i="2" l="1"/>
  <c r="N28" i="2"/>
  <c r="M50" i="2"/>
  <c r="N27" i="2"/>
  <c r="N46" i="2"/>
  <c r="N21" i="2"/>
  <c r="N45" i="2"/>
  <c r="N22" i="2"/>
  <c r="N18" i="2"/>
  <c r="N23" i="2"/>
  <c r="E16" i="2"/>
  <c r="F16" i="2" s="1"/>
  <c r="N19" i="2"/>
  <c r="N24" i="2"/>
  <c r="N25" i="2"/>
  <c r="N26" i="2"/>
  <c r="N40" i="2"/>
  <c r="N34" i="2"/>
  <c r="N29" i="2"/>
  <c r="N41" i="2"/>
  <c r="N42" i="2"/>
  <c r="N35" i="2"/>
  <c r="N36" i="2"/>
  <c r="N47" i="2"/>
  <c r="N37" i="2"/>
  <c r="N30" i="2"/>
  <c r="N48" i="2"/>
  <c r="N43" i="2"/>
  <c r="N33" i="2"/>
  <c r="N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tc={FB3376DA-F0C9-4688-85D1-70D834D7F52F}</author>
  </authors>
  <commentList>
    <comment ref="H36" authorId="0" shapeId="0" xr:uid="{FB3376DA-F0C9-4688-85D1-70D834D7F52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1) 500 dólares da etapa online (total) = 2500 reais
2) 600 dólares das etapas 2023 (presencial + online) para cada um dos 5 que pediram apoio = 15000 reais
3) 6500 reais para a organização da etapa presencial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tc={2D204842-AA7B-4485-890D-6E82E516A078}</author>
  </authors>
  <commentList>
    <comment ref="F36" authorId="0" shapeId="0" xr:uid="{2D204842-AA7B-4485-890D-6E82E516A07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1) 500 dólares da etapa online (total) = 2500 reais
2) 600 dólares das etapas 2023 (presencial + online) para cada um dos 5 que pediram apoio = 15000 reais
3) 6500 reais para a organização da etapa presencial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tc={D2EBF9CC-CDB5-4E5A-9962-3D77310B39D0}</author>
    <author>tc={8DEC222F-5CEA-42DD-A626-37D76560C4F4}</author>
    <author>tc={6F148127-3323-44AC-8C78-9AB303754CBE}</author>
    <author>tc={C7CA341D-9E20-4EF4-9ED0-06330D15717A}</author>
    <author>tc={66C09A22-0829-4B3A-AC61-7E19BA85A78F}</author>
    <author>tc={EEBE3BAB-0CC6-46AB-9B1E-2421B931352B}</author>
    <author>tc={3AABE9F9-85AD-4359-ACBF-43667CD514B1}</author>
    <author>tc={15E7685F-D82D-483B-9138-F7BD31ED0D00}</author>
    <author>tc={89B650F7-0B43-4AB2-BB80-CD1BD6883374}</author>
    <author>tc={DC6857E3-C8EA-4F3E-ACD5-06C31B72E34A}</author>
    <author>tc={47CD043E-49C6-4FD5-98E4-46A5A2CC0E68}</author>
    <author>tc={52482955-3BAB-4E06-9982-078ADB51317B}</author>
    <author>tc={B50B771C-E0DD-45DF-874D-855B9AAA01CB}</author>
    <author>tc={14391DDE-6249-49F3-A004-DF2A0D476CB4}</author>
    <author>tc={B570882B-3C19-4C6A-9412-142DEB3215B8}</author>
    <author>tc={8C5E8140-F7CD-4862-B509-49F857946AE1}</author>
    <author>tc={EAC09629-16E3-4C8A-8F0C-1C034B9758E9}</author>
    <author>tc={F38EB374-2EFE-4F17-8910-C7D91EFFDCD4}</author>
    <author>tc={CC23AAC8-7EBA-4C77-8FEA-5BB63EC17545}</author>
    <author>tc={A5AA70B2-5E2B-47A4-A195-837A969F5974}</author>
    <author>tc={62352ED1-7556-43AF-99DF-ECBC9B517B19}</author>
    <author>tc={8FC22ADF-E62F-4695-96EB-EA1ABCCB1D38}</author>
    <author>tc={EB316893-C57E-4067-B7DA-F35A1132FFB7}</author>
    <author>tc={53A23A62-5346-4267-B3B4-AE2C4E20AD8C}</author>
    <author>tc={8E9255C5-64D8-48D7-BBD9-03E8275C58D5}</author>
  </authors>
  <commentList>
    <comment ref="I4" authorId="0" shapeId="0" xr:uid="{D2EBF9CC-CDB5-4E5A-9962-3D77310B39D0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K4" authorId="1" shapeId="0" xr:uid="{8DEC222F-5CEA-42DD-A626-37D76560C4F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Conseguiremos "estancar" a perda de arrecadação decorrente da diminuição da quantidade de comunidades que pagavam mais</t>
      </text>
    </comment>
    <comment ref="M4" authorId="2" shapeId="0" xr:uid="{6F148127-3323-44AC-8C78-9AB303754CBE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O4" authorId="3" shapeId="0" xr:uid="{C7CA341D-9E20-4EF4-9ED0-06330D15717A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Q4" authorId="4" shapeId="0" xr:uid="{66C09A22-0829-4B3A-AC61-7E19BA85A78F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S4" authorId="5" shapeId="0" xr:uid="{EEBE3BAB-0CC6-46AB-9B1E-2421B931352B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U4" authorId="6" shapeId="0" xr:uid="{3AABE9F9-85AD-4359-ACBF-43667CD514B1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W4" authorId="7" shapeId="0" xr:uid="{15E7685F-D82D-483B-9138-F7BD31ED0D00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I6" authorId="8" shapeId="0" xr:uid="{89B650F7-0B43-4AB2-BB80-CD1BD688337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K6" authorId="9" shapeId="0" xr:uid="{DC6857E3-C8EA-4F3E-ACD5-06C31B72E34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M6" authorId="10" shapeId="0" xr:uid="{47CD043E-49C6-4FD5-98E4-46A5A2CC0E6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O6" authorId="11" shapeId="0" xr:uid="{52482955-3BAB-4E06-9982-078ADB51317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Q6" authorId="12" shapeId="0" xr:uid="{B50B771C-E0DD-45DF-874D-855B9AAA01C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S6" authorId="13" shapeId="0" xr:uid="{14391DDE-6249-49F3-A004-DF2A0D476CB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U6" authorId="14" shapeId="0" xr:uid="{B570882B-3C19-4C6A-9412-142DEB3215B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W6" authorId="15" shapeId="0" xr:uid="{8C5E8140-F7CD-4862-B509-49F857946AE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I30" authorId="16" shapeId="0" xr:uid="{EAC09629-16E3-4C8A-8F0C-1C034B9758E9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K30" authorId="17" shapeId="0" xr:uid="{F38EB374-2EFE-4F17-8910-C7D91EFFDCD4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M30" authorId="18" shapeId="0" xr:uid="{CC23AAC8-7EBA-4C77-8FEA-5BB63EC17545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O30" authorId="19" shapeId="0" xr:uid="{A5AA70B2-5E2B-47A4-A195-837A969F5974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Q30" authorId="20" shapeId="0" xr:uid="{62352ED1-7556-43AF-99DF-ECBC9B517B19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S30" authorId="21" shapeId="0" xr:uid="{8FC22ADF-E62F-4695-96EB-EA1ABCCB1D38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U30" authorId="22" shapeId="0" xr:uid="{EB316893-C57E-4067-B7DA-F35A1132FFB7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W30" authorId="23" shapeId="0" xr:uid="{53A23A62-5346-4267-B3B4-AE2C4E20AD8C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C37" authorId="24" shapeId="0" xr:uid="{8E9255C5-64D8-48D7-BBD9-03E8275C58D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1) 500 dólares da etapa online (total) = 2500 reais
2) 600 dólares das etapas 2023 (presencial + online) para cada um dos 5 que pediram apoio = 15000 reais
3) 6500 reais para a organização da etapa presencial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tc={E01DD5E6-B987-470C-9D88-7A0C8BAA1E33}</author>
    <author>tc={3FC8DB4A-5F0D-40DB-BF7B-2678F49C152E}</author>
    <author>tc={BF79A6CB-9B32-49A1-981D-C7FFE4E8E237}</author>
    <author>tc={6BE59876-A813-41C8-869B-6B24ECAE3FBC}</author>
    <author>tc={C06930C2-56C1-4394-B89E-3CC2B22605CF}</author>
    <author>tc={77FAFE53-D833-4F24-B573-9EC509035C39}</author>
    <author>tc={13641865-F211-4F42-99BC-AC4F6C0E83B4}</author>
    <author>tc={C3054DFE-839C-43F0-B118-F7B2525891A2}</author>
    <author>tc={45562B93-CB61-4D78-A92D-6B9AE1B6A950}</author>
    <author>tc={5AB3C080-80F3-4820-8004-26060C00D27F}</author>
    <author>tc={5785AE40-9676-4B89-8306-ED69A3082040}</author>
    <author>tc={D1E6C244-BA81-4A19-A041-C24A02B968AF}</author>
    <author>tc={21D24D7C-00A7-48BC-8B9B-8149B84A6367}</author>
    <author>tc={0640B340-2AB1-4E70-A887-E9DE4910EF24}</author>
    <author>tc={02BC4BCB-877D-4B26-9DD6-2393C39F4889}</author>
    <author>tc={974D1878-B97E-435A-9900-3F9CC92B8A88}</author>
    <author>tc={FF69E31D-C3A3-4A03-B00F-7EE55A9970BA}</author>
    <author>tc={11E4269A-6B2A-4861-9531-543E8863E305}</author>
    <author>tc={BD14ACEE-F6CD-459B-BCAD-910091CDFA1B}</author>
    <author>tc={71B8B538-2C82-4250-BA9E-697B718315AC}</author>
    <author>tc={AE841B9E-97C4-4B27-A3A9-A492D9CCBAEC}</author>
    <author>tc={579386ED-E358-4F1D-9521-C2FC40F8D10E}</author>
    <author>tc={FF0242B6-161F-4BA0-875B-511D3945059F}</author>
    <author>tc={AACC067C-B1AD-4CCF-89E2-FE4598D94D21}</author>
    <author>tc={A5E637B3-8012-4B7C-A6AD-3F36158769B1}</author>
  </authors>
  <commentList>
    <comment ref="I4" authorId="0" shapeId="0" xr:uid="{E01DD5E6-B987-470C-9D88-7A0C8BAA1E33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K4" authorId="1" shapeId="0" xr:uid="{3FC8DB4A-5F0D-40DB-BF7B-2678F49C152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Conseguiremos "estancar" a perda de arrecadação decorrente da diminuição da quantidade de comunidades que pagavam mais</t>
      </text>
    </comment>
    <comment ref="M4" authorId="2" shapeId="0" xr:uid="{BF79A6CB-9B32-49A1-981D-C7FFE4E8E237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O4" authorId="3" shapeId="0" xr:uid="{6BE59876-A813-41C8-869B-6B24ECAE3FBC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Q4" authorId="4" shapeId="0" xr:uid="{C06930C2-56C1-4394-B89E-3CC2B22605CF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S4" authorId="5" shapeId="0" xr:uid="{77FAFE53-D833-4F24-B573-9EC509035C39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U4" authorId="6" shapeId="0" xr:uid="{13641865-F211-4F42-99BC-AC4F6C0E83B4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W4" authorId="7" shapeId="0" xr:uid="{C3054DFE-839C-43F0-B118-F7B2525891A2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I6" authorId="8" shapeId="0" xr:uid="{45562B93-CB61-4D78-A92D-6B9AE1B6A95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K6" authorId="9" shapeId="0" xr:uid="{5AB3C080-80F3-4820-8004-26060C00D27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M6" authorId="10" shapeId="0" xr:uid="{5785AE40-9676-4B89-8306-ED69A308204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O6" authorId="11" shapeId="0" xr:uid="{D1E6C244-BA81-4A19-A041-C24A02B968A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Q6" authorId="12" shapeId="0" xr:uid="{21D24D7C-00A7-48BC-8B9B-8149B84A636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S6" authorId="13" shapeId="0" xr:uid="{0640B340-2AB1-4E70-A887-E9DE4910EF2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U6" authorId="14" shapeId="0" xr:uid="{02BC4BCB-877D-4B26-9DD6-2393C39F488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W6" authorId="15" shapeId="0" xr:uid="{974D1878-B97E-435A-9900-3F9CC92B8A8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I30" authorId="16" shapeId="0" xr:uid="{FF69E31D-C3A3-4A03-B00F-7EE55A9970BA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K30" authorId="17" shapeId="0" xr:uid="{11E4269A-6B2A-4861-9531-543E8863E305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M30" authorId="18" shapeId="0" xr:uid="{BD14ACEE-F6CD-459B-BCAD-910091CDFA1B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O30" authorId="19" shapeId="0" xr:uid="{71B8B538-2C82-4250-BA9E-697B718315AC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Q30" authorId="20" shapeId="0" xr:uid="{AE841B9E-97C4-4B27-A3A9-A492D9CCBAEC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S30" authorId="21" shapeId="0" xr:uid="{579386ED-E358-4F1D-9521-C2FC40F8D10E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U30" authorId="22" shapeId="0" xr:uid="{FF0242B6-161F-4BA0-875B-511D3945059F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W30" authorId="23" shapeId="0" xr:uid="{AACC067C-B1AD-4CCF-89E2-FE4598D94D21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C37" authorId="24" shapeId="0" xr:uid="{A5E637B3-8012-4B7C-A6AD-3F36158769B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1) 500 dólares da etapa online (total) = 2500 reais
2) 600 dólares das etapas 2023 (presencial + online) para cada um dos 5 que pediram apoio = 15000 reais
3) 6500 reais para a organização da etapa presencial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tc={FFAFAA21-3C44-4CA0-89A2-43DA6025B390}</author>
  </authors>
  <commentList>
    <comment ref="H36" authorId="0" shapeId="0" xr:uid="{FFAFAA21-3C44-4CA0-89A2-43DA6025B3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1) 500 dólares da etapa online (total) = 2500 reais
2) 600 dólares das etapas 2023 (presencial + online) para cada um dos 5 que pediram apoio = 15000 reais
3) 6500 reais para a organização da etapa presencial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tc={5D59DE1F-8919-4072-B8E1-DFF6C5731F42}</author>
  </authors>
  <commentList>
    <comment ref="H36" authorId="0" shapeId="0" xr:uid="{5D59DE1F-8919-4072-B8E1-DFF6C5731F4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1) 500 dólares da etapa online (total) = 2500 reais
2) 600 dólares das etapas 2023 (presencial + online) para cada um dos 5 que pediram apoio = 15000 reais
3) 6500 reais para a organização da etapa presencial</t>
      </text>
    </comment>
  </commentList>
</comments>
</file>

<file path=xl/sharedStrings.xml><?xml version="1.0" encoding="utf-8"?>
<sst xmlns="http://schemas.openxmlformats.org/spreadsheetml/2006/main" count="724" uniqueCount="265">
  <si>
    <t>Despesas</t>
  </si>
  <si>
    <t>Despesas Operacionais</t>
  </si>
  <si>
    <t>Orçado</t>
  </si>
  <si>
    <t>Realizado</t>
  </si>
  <si>
    <t>Receitas</t>
  </si>
  <si>
    <t>Receitas totais</t>
  </si>
  <si>
    <t>Despesas totais</t>
  </si>
  <si>
    <t>Regional Bahia</t>
  </si>
  <si>
    <t>Regional Brasília</t>
  </si>
  <si>
    <t>Regional Minas Gerais</t>
  </si>
  <si>
    <t>Regional Nordeste</t>
  </si>
  <si>
    <t>Regional Rio</t>
  </si>
  <si>
    <t>Regional São Paulo</t>
  </si>
  <si>
    <t>Regional Sul</t>
  </si>
  <si>
    <t>Outras receitas</t>
  </si>
  <si>
    <t>Doações</t>
  </si>
  <si>
    <t>Rendimentos de Aplicação Financeira</t>
  </si>
  <si>
    <t>Dia de Santo Inácio</t>
  </si>
  <si>
    <t>Venda de produtos</t>
  </si>
  <si>
    <t>Contabilidade</t>
  </si>
  <si>
    <t>Despesas bancárias</t>
  </si>
  <si>
    <t>Impostos e taxas</t>
  </si>
  <si>
    <t>Despesas Administrativas e Financeiras</t>
  </si>
  <si>
    <t>Reuniões Coordenação Executiva</t>
  </si>
  <si>
    <t>Reuniões Conselho Ampliado</t>
  </si>
  <si>
    <t>Anuidade CNLB</t>
  </si>
  <si>
    <t>Anuidade CVX Mundial</t>
  </si>
  <si>
    <t>Participações presenciais da CEN em eventos regionais</t>
  </si>
  <si>
    <t>Subsídios para a formação</t>
  </si>
  <si>
    <t>Encontro Global de Formação (ExCo)</t>
  </si>
  <si>
    <t>Magis VI (CENAL)</t>
  </si>
  <si>
    <t>Encontro Internacional das Famílias (CVX-E)</t>
  </si>
  <si>
    <t>Subsídios para a participação em retiros</t>
  </si>
  <si>
    <t>Apoio a participação em retiros de final de semana</t>
  </si>
  <si>
    <t>Apoio a participação em retiros de 8 dias</t>
  </si>
  <si>
    <t>Apoio a participação em retiros de 30 dias</t>
  </si>
  <si>
    <t>Subsídios para as obras da CVX</t>
  </si>
  <si>
    <t>Jornada Mundial das Juventudes (Companhia de Jesus)</t>
  </si>
  <si>
    <t>Acordo de cooperação com SJMR</t>
  </si>
  <si>
    <t>Repasse para as Instâncias Regionais</t>
  </si>
  <si>
    <t>Doação para obras da CVX Mundial</t>
  </si>
  <si>
    <t>Comunidade Nossa Senhora Aparecida</t>
  </si>
  <si>
    <t>Comunidade Santíssima Trindade</t>
  </si>
  <si>
    <t>Comunidade Vida e Esperança</t>
  </si>
  <si>
    <t>Comunidade Dom Luciano</t>
  </si>
  <si>
    <t>Comunidade Padre Iglesias</t>
  </si>
  <si>
    <t>Comunidade Santo Alberto Hurtado</t>
  </si>
  <si>
    <t>Comunidade São José</t>
  </si>
  <si>
    <t>Comunidade Maria</t>
  </si>
  <si>
    <t>Comunidade Santa Rafaela Maria</t>
  </si>
  <si>
    <t>Comunidade São Francisco Xavier</t>
  </si>
  <si>
    <t>Comunidade São Paulo Apóstolo</t>
  </si>
  <si>
    <t>Comunidade Fé e Vida</t>
  </si>
  <si>
    <t>Comunidade Profeta Peregrino</t>
  </si>
  <si>
    <t>Comunidade Santa Tereza Couderc</t>
  </si>
  <si>
    <t>Comunidade Santo Inácio de Loyola</t>
  </si>
  <si>
    <t>Comunidade Aprendizes do Coração de Jesus</t>
  </si>
  <si>
    <t>Comunidade Cristo Redentor</t>
  </si>
  <si>
    <t xml:space="preserve">Comunidade Dom Helder Camara </t>
  </si>
  <si>
    <t>Comunidade Fé e Vida São Francisco Xavier</t>
  </si>
  <si>
    <t>Comunidade Inácio Peregrino</t>
  </si>
  <si>
    <t>Comunidade Maria Arca da Aliança</t>
  </si>
  <si>
    <t>Comunidade Maria Mãe da Esperança</t>
  </si>
  <si>
    <t>Comunidade Maria Porta do Céu</t>
  </si>
  <si>
    <t>Comunidade Nossa Senhora da Luz</t>
  </si>
  <si>
    <t>Comunidade Nossa Senhora da Paz</t>
  </si>
  <si>
    <t>Comunidade Nossa Senhora de Fátima</t>
  </si>
  <si>
    <t>Comunidade Nossa Senhora de Nazaré</t>
  </si>
  <si>
    <t>Comunidade Peregrinos da Esperança</t>
  </si>
  <si>
    <t>Comunidade São Marcos</t>
  </si>
  <si>
    <t>Comunidade Shalom</t>
  </si>
  <si>
    <t>Comunidade Virgem Oferente</t>
  </si>
  <si>
    <t>Comunidade A Caminho</t>
  </si>
  <si>
    <t>Comunidade Cardoner</t>
  </si>
  <si>
    <t>Comunidade CVXavier</t>
  </si>
  <si>
    <t>Comunidade MCL</t>
  </si>
  <si>
    <t>Comunidade Nazaré</t>
  </si>
  <si>
    <t>Comunidade Peregrino</t>
  </si>
  <si>
    <t>Comunidade Santa Maria</t>
  </si>
  <si>
    <t>Comunidade Coração Imaculado de Maria</t>
  </si>
  <si>
    <t>Comunidade Esperança</t>
  </si>
  <si>
    <t>Comunidade Francisco</t>
  </si>
  <si>
    <t>Comunidade Nossa Senhora da Luz dos Pinhais</t>
  </si>
  <si>
    <t>Comunidade Nossa Senhora Medianeira</t>
  </si>
  <si>
    <t>Comunidade Nova Aliança</t>
  </si>
  <si>
    <t>Comunidade Santo André</t>
  </si>
  <si>
    <t>Comunidade Santo Estanislau Kostka</t>
  </si>
  <si>
    <t>Outras formações (CAP1, CAP2, etc)</t>
  </si>
  <si>
    <t>Representações institucionais (ex.: Assembleia CNLB)</t>
  </si>
  <si>
    <t>Financiamento de obras da CVX nas Regionais</t>
  </si>
  <si>
    <t>Fundo de Formação e Missão</t>
  </si>
  <si>
    <t>Data</t>
  </si>
  <si>
    <t>Valor</t>
  </si>
  <si>
    <t>Comunidade Nossa Senhora da Estrada - SP</t>
  </si>
  <si>
    <t>Comunidade Nossa Senhora da Estrada - Sul</t>
  </si>
  <si>
    <t>Comunidade Nossa Senhora de Montserrat - SP</t>
  </si>
  <si>
    <t>Comunidade Amar e Servir - RJ</t>
  </si>
  <si>
    <t>Comunidade Amar e Servir - BA</t>
  </si>
  <si>
    <t>Comunidade São José de Anchieta - RJ</t>
  </si>
  <si>
    <t>Comunidade São José de Anchieta - Sul</t>
  </si>
  <si>
    <t>Descrição Receita</t>
  </si>
  <si>
    <t>Categoria Receita</t>
  </si>
  <si>
    <t>Comunidade Nossa Senhora de Montserrat - RJ</t>
  </si>
  <si>
    <t>Categoria Despesa</t>
  </si>
  <si>
    <t>Descrição Despesa</t>
  </si>
  <si>
    <t>Planilha atualizada em:</t>
  </si>
  <si>
    <t>Ver lançamentos</t>
  </si>
  <si>
    <t>TOTAL DESPESAS</t>
  </si>
  <si>
    <t>TOTAL RECEITAS</t>
  </si>
  <si>
    <t>Mensal</t>
  </si>
  <si>
    <t>Total contribuições comunidades</t>
  </si>
  <si>
    <t>Cartório e correios</t>
  </si>
  <si>
    <t>Planilha de acompanhamento orçamentário CVX no Brasil 2022</t>
  </si>
  <si>
    <t>Resultado</t>
  </si>
  <si>
    <t>Outras formações (CAP1, CAP2, EoF, etc)</t>
  </si>
  <si>
    <t>Assinaturas (StreamYard, Zoom, Publicações, Site...)</t>
  </si>
  <si>
    <t>Orçado 2022</t>
  </si>
  <si>
    <t>Real TRI1</t>
  </si>
  <si>
    <t>Real TRI2</t>
  </si>
  <si>
    <t>Saldo ordinário</t>
  </si>
  <si>
    <t>Total em caixa</t>
  </si>
  <si>
    <t xml:space="preserve">Saldo Cora em 30/6: </t>
  </si>
  <si>
    <t>Bradesco em 30/6:</t>
  </si>
  <si>
    <t>Contribuições comunidades</t>
  </si>
  <si>
    <t>Fontes Ordinárias</t>
  </si>
  <si>
    <t>Orçamento 2022</t>
  </si>
  <si>
    <t>Realizado 2022-1</t>
  </si>
  <si>
    <t>Orçamento 2022-2 + 2023</t>
  </si>
  <si>
    <t>Total Receitas Ordinárias</t>
  </si>
  <si>
    <t>Total Despesas Ordinárias</t>
  </si>
  <si>
    <t>Despesas Administrativas e Financeiras (Ordinárias)</t>
  </si>
  <si>
    <t>Fontes Extraordinárias</t>
  </si>
  <si>
    <t>Rendimentos Financeiros</t>
  </si>
  <si>
    <t>Total Receitas Extraordinárias</t>
  </si>
  <si>
    <t>Despesas Fundo de Formação, Espiritualidade e Missão</t>
  </si>
  <si>
    <t>Formações internacionais (Famílias, EGF, etc)</t>
  </si>
  <si>
    <t>Encontros internacionais (EoF, JMJ, Jovens AL, etc)</t>
  </si>
  <si>
    <t>Doações para obras da CVX Mundial</t>
  </si>
  <si>
    <t>Assistência emergencial</t>
  </si>
  <si>
    <t>Financiamento de obras da CVX nas regionais</t>
  </si>
  <si>
    <t>Magis VI (subsídios + organização etapa Brasil)</t>
  </si>
  <si>
    <t>Assembleia Mundial da CVX 2023 (Amiens, FRA)</t>
  </si>
  <si>
    <t>Encontro Nacional 2023 (Salvador, Bahia)</t>
  </si>
  <si>
    <t>Apoio a retiros (fim de semana, 8 dias, 30 dias...)</t>
  </si>
  <si>
    <t>Outras destinações pertinentes à nossa missão</t>
  </si>
  <si>
    <t>Saldo aproximado do Fundo em 30/6</t>
  </si>
  <si>
    <t>Saldo em conta em 30/6</t>
  </si>
  <si>
    <t>Saldo ordinário projetado</t>
  </si>
  <si>
    <t>Saldo projetado do Fundo</t>
  </si>
  <si>
    <t>Saldo total estimado</t>
  </si>
  <si>
    <t>Aprox. 1k de auxílio para que cada comunidade envie dois representantes</t>
  </si>
  <si>
    <t>Aprox. 8k de auxílio para cada jovem enviado (4 para JMJ e 1 para Encontro de Jovens da América Latina)</t>
  </si>
  <si>
    <t>Observações</t>
  </si>
  <si>
    <t>Realizado x3</t>
  </si>
  <si>
    <t>Não teríamos mais o rendimento do CDB</t>
  </si>
  <si>
    <t xml:space="preserve">Saldo 30/6, menos o Fundo </t>
  </si>
  <si>
    <t>Considerando aumento de 10%</t>
  </si>
  <si>
    <t>Aprox. 13k para cada representante brasileiro (3)</t>
  </si>
  <si>
    <t>Margem de segurança, mas devemos praticamente zerar as despesas migrando para a Cora</t>
  </si>
  <si>
    <t>Margem de segurança, considerando algum imposto a pagar na migração</t>
  </si>
  <si>
    <t>Manutenção do orçado 2022, mesmo considerando 1,5 ano</t>
  </si>
  <si>
    <t>Realizado 2022</t>
  </si>
  <si>
    <t>Orçado x1,5</t>
  </si>
  <si>
    <t>Orçado x2</t>
  </si>
  <si>
    <t>Melhor não considerar</t>
  </si>
  <si>
    <t>Orçado x2 - realizado + aprox.4k para investir no site</t>
  </si>
  <si>
    <t>É bem provável que, por conta da Assembleia e do Magis VI, nem tenhamos formações internacionais como as deste ano</t>
  </si>
  <si>
    <t>Explicações nos comentários</t>
  </si>
  <si>
    <t>Valor simbólico</t>
  </si>
  <si>
    <t>Valor simbólico, igual ao das doações para as obras da CVX Mundial</t>
  </si>
  <si>
    <t>Valor igual ao do acordo de cooperação</t>
  </si>
  <si>
    <t>Valor é bem negativo, mesmo considerando que já temos praticamente isso em caixa, atualmente. Vale refletir sobre se devemos manter todas estas contas neste fundo (e/ou se, de tempos em tempos, o caixa ordinário não deveria também alimentar o fundo...)</t>
  </si>
  <si>
    <t xml:space="preserve">Mesmo com todos estes investimentos, ainda manteríamos o saldo positivo. Mas é possível reduzir alguns tetos de gastos e, assim, ter um saldo um pouco mais folgado. </t>
  </si>
  <si>
    <t>Aprox. 10k para cada representante brasileiro (3)</t>
  </si>
  <si>
    <t>Orçado x2 (mesmo considerando investimento no site)</t>
  </si>
  <si>
    <t>Realizado x2</t>
  </si>
  <si>
    <t>Aprox. 750 de auxílio para que cada comunidade envie dois representantes</t>
  </si>
  <si>
    <t>Aprox. 6k de auxílio para cada jovem enviado (4 para JMJ e 1 para Encontro de Jovens da América Latina)</t>
  </si>
  <si>
    <t>Aprox. realizado x3</t>
  </si>
  <si>
    <t>%</t>
  </si>
  <si>
    <t>2/3 de nossas receitas continuam sendo ordinárias, oriundas das contribuições mensais</t>
  </si>
  <si>
    <t>metade de nossas despesas continuariam sendo ordinárias</t>
  </si>
  <si>
    <t>1/3 de nossas receitas são as destinadas exclusivamente para o Fundo</t>
  </si>
  <si>
    <t>Pouco mais da metade de nossas despesas seriam com o Fundo</t>
  </si>
  <si>
    <t>pouco menos de metade de nossas despesas continuariam sendo ordinárias</t>
  </si>
  <si>
    <t>Valor é negativo, mas 40k menor do que na proposta A</t>
  </si>
  <si>
    <t xml:space="preserve">Mesmo com todos estes investimentos, ainda manteríamos um bom saldo positivo. </t>
  </si>
  <si>
    <t>Projetos de geração de renda e mitigação da pobreza</t>
  </si>
  <si>
    <t>Cartório, correios, papelaria e outras despesas operacionais</t>
  </si>
  <si>
    <t>TRI3-2022</t>
  </si>
  <si>
    <t>Fundo de formação</t>
  </si>
  <si>
    <t>Reuniões Conselho Nacional</t>
  </si>
  <si>
    <t>TRI4-2022</t>
  </si>
  <si>
    <t xml:space="preserve">Saldo total </t>
  </si>
  <si>
    <t>Saldo em conta em 30/6/2022</t>
  </si>
  <si>
    <t>Saldo do Fundo em 1/7/2022</t>
  </si>
  <si>
    <t>TRI1-2023</t>
  </si>
  <si>
    <t>Saldo do Fundo</t>
  </si>
  <si>
    <t>Novo site causou o estouro</t>
  </si>
  <si>
    <t>TRI2-2023</t>
  </si>
  <si>
    <t>Preços altos, tanto das passagens, quanto da inscrição</t>
  </si>
  <si>
    <t xml:space="preserve">Há algumas comunidades locais inadimplentes, outras que foram extintas. </t>
  </si>
  <si>
    <t>Saldo Cora em 30/06:</t>
  </si>
  <si>
    <t>Não há previsão de gastos aqui</t>
  </si>
  <si>
    <t>Realizado jul2022-jun2023</t>
  </si>
  <si>
    <t>Realizado x Orçado</t>
  </si>
  <si>
    <t xml:space="preserve">Rendimento residual de quando ainda operávamos no Bradesco. Não temos mais isso. </t>
  </si>
  <si>
    <t>Faltam dois trimestres de arrecadação a serem computados. Mas não chegaremos em 100%.</t>
  </si>
  <si>
    <t>n/a</t>
  </si>
  <si>
    <t xml:space="preserve">O dinheiro que tínhamos em conta, do fundo ordinário, segue intacto. </t>
  </si>
  <si>
    <t xml:space="preserve">Anuidade cairá agora no segundo semestre de 2023. </t>
  </si>
  <si>
    <t>Variação do câmbio fez com que a anuidade fosse ligeiramente menor</t>
  </si>
  <si>
    <t>Cancelamos o StreamYard, mas aqui ainda entrarão valores no último tri/2023</t>
  </si>
  <si>
    <t xml:space="preserve">A empresa aumentou o valor mensal e provavelmente vamos estourar um pouco aqui. </t>
  </si>
  <si>
    <t>Eliminamos estas despesas</t>
  </si>
  <si>
    <t>Saldo real x orçado</t>
  </si>
  <si>
    <t>Aqui ainda entraram algumas multas, mas são raras...</t>
  </si>
  <si>
    <t>Justificativas e comentários</t>
  </si>
  <si>
    <t>Em tese, aqui chegaremos num saldo próximo de zero, visto que temos dois repasses ainda a fazer/registrar.</t>
  </si>
  <si>
    <t>Valores do RJ, tanto de passagens quanto da casa, foram mais altos do que os de SP. É possível que ainda estouremos algo mais, já antecipando a compra de passagens para o ano que vem...</t>
  </si>
  <si>
    <t>Acabamos economizando este valor, até mesmo para compensar o estouro na conta de Reuniões do Conselho Nacional</t>
  </si>
  <si>
    <t xml:space="preserve">É possível que consigamos alguma economia, que servirá para compensar parte do estouro na conta das Reuniões do Conselho. </t>
  </si>
  <si>
    <t>Também economizaremos aqui, agora compensando um pouco o nosso gasto na Assembleia Mundial</t>
  </si>
  <si>
    <t xml:space="preserve">No saldo final total acumulado do ano, é provável que tenhamos uma pequena economia, mas bem pouco significativa. </t>
  </si>
  <si>
    <t>Doações esporádicas, que às vezes registramos até por não ter melhor entendimento de onde alocar recursos que entram em nossa conta sem maiores detalhamentos.</t>
  </si>
  <si>
    <t xml:space="preserve">O dinheiro que tínhamos em conta, do Fundo para a Formação/Missão/Espiritualidade provavelmente será afetado por conta de uma arrecadação, aqui, bem menor do que as despesas. </t>
  </si>
  <si>
    <t>Não está contabilizada aqui a arrecadação de 2023 do Dia de Santo Inácio</t>
  </si>
  <si>
    <t xml:space="preserve">Não está contabilizada aqui a arrecadação de 2023 do Dia de Santo Inácio. Provavelmente, atingiremos. </t>
  </si>
  <si>
    <t xml:space="preserve">Ainda há inscrições por serem computadas, mas precisamos pagar a casa e outras despesas do EN. Ainda assim, é provável que o saldo real x orçado fique positivo. </t>
  </si>
  <si>
    <t xml:space="preserve">Esta conta provavelmente compensará o "rombo" da Assembleia Mundial, lá do Fundo Ordinário, pois não há mais gastos previstos e o saldo real x orçado deve ficar positivo mesmo. </t>
  </si>
  <si>
    <t xml:space="preserve">Esta conta provavelmente compensará o "rombo" da Assembleia Mundial, lá do Fundo Ordinário, pois não há mais gastos previstos e o saldo real x orçado deve ficar positivo mesmo. A não ser que antecipemos a compra de passagens para o Encontro presencial da CENAL, que será na Argentina. </t>
  </si>
  <si>
    <t xml:space="preserve">Não devemos ter novos gastos este ano. </t>
  </si>
  <si>
    <t xml:space="preserve">É possível que a gente estoure um pouquinho esta conta, mas não será muito. </t>
  </si>
  <si>
    <t xml:space="preserve">Vamos fechar em 100% aqui, sem saldo. </t>
  </si>
  <si>
    <t>Teremos aqui uma boa economia</t>
  </si>
  <si>
    <t>Aportes feitos para o projeto em Feira de Santana, em julho</t>
  </si>
  <si>
    <t>Aporte feito em agosto para a compra e plotagem das barracas dos migrantes, para as feiras em Brasília</t>
  </si>
  <si>
    <t xml:space="preserve">É provável que cheguemos bem perto de zero aqui neste saldo. </t>
  </si>
  <si>
    <t>É provável que fiquemos com saldo negativo, mas não tanto quanto era previsto</t>
  </si>
  <si>
    <t>Proposta 2024-2026 "Otimista"</t>
  </si>
  <si>
    <t>Proposta 2024-2026 "Pessimista"</t>
  </si>
  <si>
    <t>Saldo do Fundo Ordinário exercício anterior</t>
  </si>
  <si>
    <t>Saldo anterior do Fundo de Formação/Espiritualidade/Missão</t>
  </si>
  <si>
    <t>A</t>
  </si>
  <si>
    <t>B</t>
  </si>
  <si>
    <t>C</t>
  </si>
  <si>
    <t>D</t>
  </si>
  <si>
    <t>PROPOSTAS ORÇAMENTÁRIAS 2024-2026</t>
  </si>
  <si>
    <t>ORÇADO</t>
  </si>
  <si>
    <t>REALIZADO</t>
  </si>
  <si>
    <t>PARÂMETROS EXERCÍCIO 2021-2023</t>
  </si>
  <si>
    <t>E</t>
  </si>
  <si>
    <t>Proposta 2024-2026 "Ajustada"</t>
  </si>
  <si>
    <t>F</t>
  </si>
  <si>
    <t>Proposta ajustada + Inflação</t>
  </si>
  <si>
    <t>Proposta ajustada + Inflação 5%</t>
  </si>
  <si>
    <t>G</t>
  </si>
  <si>
    <t xml:space="preserve">% Fundo Formação </t>
  </si>
  <si>
    <t>% Fundo de Espiritualidade</t>
  </si>
  <si>
    <t>% Fundo para a Missão</t>
  </si>
  <si>
    <t>Proposta proporcional 50-15-35</t>
  </si>
  <si>
    <t>Proposta proporcional 45-10-45</t>
  </si>
  <si>
    <t>H</t>
  </si>
  <si>
    <t>Ajustada (E) proporcional à arrecadação</t>
  </si>
  <si>
    <t>Encontro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</si>
</sst>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  <numFmt numFmtId="166" formatCode="0.0%"/>
    <numFmt numFmtId="167" formatCode="#,##0.00\ [$€-1];[Red]\-#,##0.00\ [$€-1]"/>
  </numFmts>
  <fonts count="53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2"/>
      <name val="Calibri"/>
    </font>
    <font>
      <b/>
      <sz val="2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.5"/>
      <color rgb="FF000000"/>
      <name val="Calibri"/>
      <family val="2"/>
    </font>
    <font>
      <sz val="10.5"/>
      <color rgb="FFFFFFFF"/>
      <name val="Calibri"/>
      <family val="2"/>
    </font>
    <font>
      <b/>
      <sz val="10.5"/>
      <color rgb="FF000000"/>
      <name val="Calibri"/>
      <family val="2"/>
    </font>
    <font>
      <sz val="10.5"/>
      <name val="Calibri"/>
      <family val="2"/>
    </font>
    <font>
      <b/>
      <sz val="10.5"/>
      <color rgb="FFFFFFFF"/>
      <name val="Calibri"/>
      <family val="2"/>
    </font>
    <font>
      <b/>
      <sz val="10.5"/>
      <color rgb="FFC00000"/>
      <name val="Calibri"/>
      <family val="2"/>
    </font>
    <font>
      <sz val="12"/>
      <color rgb="FF000000"/>
      <name val="Calibri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7030A0"/>
      <name val="Calibri"/>
      <family val="2"/>
    </font>
    <font>
      <sz val="10"/>
      <color rgb="FF7030A0"/>
      <name val="Calibri"/>
      <family val="2"/>
    </font>
    <font>
      <u/>
      <sz val="12"/>
      <color theme="10"/>
      <name val="Calibri"/>
      <family val="2"/>
    </font>
    <font>
      <u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2" tint="-0.499984740745262"/>
      <name val="Calibri"/>
      <family val="2"/>
    </font>
    <font>
      <b/>
      <sz val="8"/>
      <color rgb="FFFFFFFF"/>
      <name val="Calibri"/>
      <family val="2"/>
    </font>
    <font>
      <sz val="8"/>
      <color theme="8" tint="0.59999389629810485"/>
      <name val="Calibri"/>
      <family val="2"/>
    </font>
    <font>
      <sz val="12"/>
      <color theme="4"/>
      <name val="Calibri"/>
      <family val="2"/>
    </font>
    <font>
      <b/>
      <sz val="8"/>
      <color theme="4" tint="-0.249977111117893"/>
      <name val="Calibri"/>
      <family val="2"/>
    </font>
    <font>
      <b/>
      <sz val="8"/>
      <name val="Calibri"/>
      <family val="2"/>
    </font>
    <font>
      <b/>
      <sz val="8"/>
      <color rgb="FF760000"/>
      <name val="Calibri"/>
      <family val="2"/>
    </font>
    <font>
      <sz val="8"/>
      <color theme="0" tint="-0.249977111117893"/>
      <name val="Calibri"/>
      <family val="2"/>
    </font>
    <font>
      <sz val="12"/>
      <color rgb="FF760000"/>
      <name val="Calibri"/>
      <family val="2"/>
    </font>
    <font>
      <sz val="10"/>
      <color rgb="FF000000"/>
      <name val="Calibri"/>
      <scheme val="minor"/>
    </font>
    <font>
      <sz val="10"/>
      <color rgb="FF000000"/>
      <name val="Calibri"/>
      <family val="2"/>
      <scheme val="minor"/>
    </font>
    <font>
      <b/>
      <sz val="8"/>
      <color theme="2" tint="-0.499984740745262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4" tint="-0.249977111117893"/>
      <name val="Calibri"/>
      <family val="2"/>
    </font>
    <font>
      <b/>
      <sz val="11"/>
      <color rgb="FF760000"/>
      <name val="Calibri"/>
      <family val="2"/>
    </font>
    <font>
      <b/>
      <sz val="11"/>
      <color theme="9" tint="-0.499984740745262"/>
      <name val="Calibri"/>
      <family val="2"/>
    </font>
    <font>
      <b/>
      <sz val="11"/>
      <color theme="5" tint="-0.499984740745262"/>
      <name val="Calibri"/>
      <family val="2"/>
    </font>
    <font>
      <b/>
      <sz val="11"/>
      <color rgb="FFFF0000"/>
      <name val="Calibri"/>
      <family val="2"/>
    </font>
    <font>
      <b/>
      <sz val="11"/>
      <color theme="4"/>
      <name val="Calibri"/>
      <family val="2"/>
    </font>
    <font>
      <b/>
      <sz val="12"/>
      <color theme="1" tint="0.499984740745262"/>
      <name val="Calibri"/>
      <family val="2"/>
    </font>
    <font>
      <b/>
      <sz val="8"/>
      <color rgb="FF000000"/>
      <name val="Calibri"/>
      <family val="2"/>
    </font>
    <font>
      <b/>
      <sz val="11"/>
      <color theme="1" tint="0.499984740745262"/>
      <name val="Calibri"/>
      <family val="2"/>
    </font>
    <font>
      <sz val="12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2"/>
      <color rgb="FFC00000"/>
      <name val="Calibri"/>
      <family val="2"/>
    </font>
    <font>
      <sz val="12"/>
      <color theme="4" tint="-0.249977111117893"/>
      <name val="Calibri"/>
      <family val="2"/>
    </font>
    <font>
      <b/>
      <sz val="12"/>
      <color theme="0"/>
      <name val="Calibri"/>
      <family val="2"/>
    </font>
    <font>
      <sz val="9"/>
      <color indexed="81"/>
      <name val="Segoe UI"/>
      <charset val="1"/>
    </font>
  </fonts>
  <fills count="53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1F497D"/>
        <bgColor rgb="FF1F497D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C0504D"/>
        <bgColor rgb="FFC0504D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F2DCDB"/>
        <bgColor rgb="FFF2DCDB"/>
      </patternFill>
    </fill>
    <fill>
      <patternFill patternType="solid">
        <fgColor rgb="FFD99594"/>
        <bgColor rgb="FFD99594"/>
      </patternFill>
    </fill>
    <fill>
      <patternFill patternType="solid">
        <fgColor theme="6" tint="-0.249977111117893"/>
        <bgColor rgb="FF4A86E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E6B8B7"/>
      </patternFill>
    </fill>
    <fill>
      <patternFill patternType="solid">
        <fgColor theme="0"/>
        <bgColor rgb="FFFFFFFF"/>
      </patternFill>
    </fill>
    <fill>
      <patternFill patternType="solid">
        <fgColor rgb="FF7600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1F497D"/>
      </patternFill>
    </fill>
    <fill>
      <patternFill patternType="solid">
        <fgColor theme="0"/>
        <bgColor rgb="FFDBE5F1"/>
      </patternFill>
    </fill>
    <fill>
      <patternFill patternType="solid">
        <fgColor rgb="FFF2DBDB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8" tint="0.79998168889431442"/>
        <bgColor rgb="FFDBE5F1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BDB"/>
        <bgColor rgb="FFFFFFFF"/>
      </patternFill>
    </fill>
    <fill>
      <patternFill patternType="solid">
        <fgColor theme="8" tint="0.59999389629810485"/>
        <bgColor rgb="FFDBE5F1"/>
      </patternFill>
    </fill>
    <fill>
      <patternFill patternType="solid">
        <fgColor theme="8" tint="0.59999389629810485"/>
        <bgColor rgb="FFFFFFFF"/>
      </patternFill>
    </fill>
    <fill>
      <patternFill patternType="solid">
        <fgColor rgb="FFE5B5B5"/>
        <bgColor rgb="FFF2DBDB"/>
      </patternFill>
    </fill>
    <fill>
      <patternFill patternType="solid">
        <fgColor rgb="FFE5B5B5"/>
        <bgColor rgb="FFFFFFFF"/>
      </patternFill>
    </fill>
    <fill>
      <patternFill patternType="solid">
        <fgColor theme="9" tint="0.79998168889431442"/>
        <bgColor rgb="FFDBE5F1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DBE5F1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79998168889431442"/>
        <bgColor rgb="FFF2DBD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rgb="FFF2DBDB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0" tint="-0.14999847407452621"/>
        <bgColor rgb="FFDBE5F1"/>
      </patternFill>
    </fill>
    <fill>
      <patternFill patternType="solid">
        <fgColor rgb="FFFFFF00"/>
        <bgColor rgb="FFDBE5F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5B5B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B9B9"/>
      </left>
      <right style="thin">
        <color rgb="FFFFB9B9"/>
      </right>
      <top style="thin">
        <color rgb="FFFFB9B9"/>
      </top>
      <bottom style="thin">
        <color rgb="FFFFB9B9"/>
      </bottom>
      <diagonal/>
    </border>
    <border>
      <left/>
      <right style="thin">
        <color rgb="FFFFB9B9"/>
      </right>
      <top/>
      <bottom style="thin">
        <color rgb="FFFFB9B9"/>
      </bottom>
      <diagonal/>
    </border>
    <border>
      <left style="thin">
        <color rgb="FFFFB9B9"/>
      </left>
      <right style="thin">
        <color rgb="FFFFB9B9"/>
      </right>
      <top/>
      <bottom style="thin">
        <color rgb="FFFFB9B9"/>
      </bottom>
      <diagonal/>
    </border>
    <border>
      <left style="thin">
        <color rgb="FFFFB9B9"/>
      </left>
      <right/>
      <top/>
      <bottom style="thin">
        <color rgb="FFFFB9B9"/>
      </bottom>
      <diagonal/>
    </border>
    <border>
      <left/>
      <right style="thin">
        <color rgb="FFFFB9B9"/>
      </right>
      <top style="thin">
        <color rgb="FFFFB9B9"/>
      </top>
      <bottom style="thin">
        <color rgb="FFFFB9B9"/>
      </bottom>
      <diagonal/>
    </border>
    <border>
      <left style="thin">
        <color rgb="FFFFB9B9"/>
      </left>
      <right/>
      <top style="thin">
        <color rgb="FFFFB9B9"/>
      </top>
      <bottom style="thin">
        <color rgb="FFFFB9B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32" fillId="0" borderId="4"/>
    <xf numFmtId="44" fontId="33" fillId="0" borderId="4" applyFont="0" applyFill="0" applyBorder="0" applyAlignment="0" applyProtection="0"/>
    <xf numFmtId="9" fontId="32" fillId="0" borderId="4" applyFont="0" applyFill="0" applyBorder="0" applyAlignment="0" applyProtection="0"/>
    <xf numFmtId="0" fontId="14" fillId="0" borderId="4"/>
    <xf numFmtId="44" fontId="14" fillId="0" borderId="4" applyFont="0" applyFill="0" applyBorder="0" applyAlignment="0" applyProtection="0"/>
    <xf numFmtId="9" fontId="14" fillId="0" borderId="4" applyFont="0" applyFill="0" applyBorder="0" applyAlignment="0" applyProtection="0"/>
    <xf numFmtId="0" fontId="1" fillId="0" borderId="4"/>
    <xf numFmtId="44" fontId="1" fillId="0" borderId="4" applyFont="0" applyFill="0" applyBorder="0" applyAlignment="0" applyProtection="0"/>
  </cellStyleXfs>
  <cellXfs count="373">
    <xf numFmtId="0" fontId="0" fillId="0" borderId="0" xfId="0"/>
    <xf numFmtId="0" fontId="0" fillId="3" borderId="1" xfId="0" applyFill="1" applyBorder="1"/>
    <xf numFmtId="0" fontId="4" fillId="3" borderId="1" xfId="0" applyFont="1" applyFill="1" applyBorder="1"/>
    <xf numFmtId="0" fontId="4" fillId="0" borderId="0" xfId="0" applyFont="1"/>
    <xf numFmtId="0" fontId="5" fillId="3" borderId="1" xfId="0" applyFont="1" applyFill="1" applyBorder="1" applyAlignment="1">
      <alignment horizontal="center" vertical="center" textRotation="255"/>
    </xf>
    <xf numFmtId="0" fontId="0" fillId="14" borderId="0" xfId="0" applyFill="1"/>
    <xf numFmtId="0" fontId="4" fillId="14" borderId="0" xfId="0" applyFont="1" applyFill="1"/>
    <xf numFmtId="0" fontId="0" fillId="3" borderId="4" xfId="0" applyFill="1" applyBorder="1"/>
    <xf numFmtId="0" fontId="8" fillId="3" borderId="1" xfId="0" applyFont="1" applyFill="1" applyBorder="1"/>
    <xf numFmtId="0" fontId="9" fillId="13" borderId="5" xfId="0" applyFont="1" applyFill="1" applyBorder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horizontal="right"/>
    </xf>
    <xf numFmtId="164" fontId="8" fillId="4" borderId="5" xfId="0" applyNumberFormat="1" applyFont="1" applyFill="1" applyBorder="1"/>
    <xf numFmtId="0" fontId="10" fillId="9" borderId="9" xfId="0" applyFont="1" applyFill="1" applyBorder="1"/>
    <xf numFmtId="0" fontId="8" fillId="9" borderId="4" xfId="0" applyFont="1" applyFill="1" applyBorder="1"/>
    <xf numFmtId="0" fontId="8" fillId="9" borderId="10" xfId="0" applyFont="1" applyFill="1" applyBorder="1"/>
    <xf numFmtId="0" fontId="8" fillId="9" borderId="9" xfId="0" applyFont="1" applyFill="1" applyBorder="1"/>
    <xf numFmtId="165" fontId="8" fillId="3" borderId="3" xfId="0" applyNumberFormat="1" applyFont="1" applyFill="1" applyBorder="1"/>
    <xf numFmtId="165" fontId="8" fillId="9" borderId="10" xfId="0" applyNumberFormat="1" applyFont="1" applyFill="1" applyBorder="1"/>
    <xf numFmtId="0" fontId="10" fillId="6" borderId="9" xfId="0" applyFont="1" applyFill="1" applyBorder="1"/>
    <xf numFmtId="0" fontId="8" fillId="6" borderId="4" xfId="0" applyFont="1" applyFill="1" applyBorder="1"/>
    <xf numFmtId="0" fontId="8" fillId="6" borderId="10" xfId="0" applyFont="1" applyFill="1" applyBorder="1"/>
    <xf numFmtId="0" fontId="8" fillId="6" borderId="9" xfId="0" applyFont="1" applyFill="1" applyBorder="1"/>
    <xf numFmtId="165" fontId="8" fillId="6" borderId="10" xfId="0" applyNumberFormat="1" applyFont="1" applyFill="1" applyBorder="1"/>
    <xf numFmtId="0" fontId="9" fillId="0" borderId="0" xfId="0" applyFont="1" applyAlignment="1">
      <alignment horizontal="left" vertical="top"/>
    </xf>
    <xf numFmtId="165" fontId="8" fillId="15" borderId="4" xfId="0" applyNumberFormat="1" applyFont="1" applyFill="1" applyBorder="1" applyAlignment="1">
      <alignment horizontal="center"/>
    </xf>
    <xf numFmtId="165" fontId="8" fillId="6" borderId="4" xfId="0" applyNumberFormat="1" applyFont="1" applyFill="1" applyBorder="1"/>
    <xf numFmtId="165" fontId="8" fillId="9" borderId="4" xfId="0" applyNumberFormat="1" applyFont="1" applyFill="1" applyBorder="1"/>
    <xf numFmtId="0" fontId="11" fillId="3" borderId="0" xfId="0" applyFont="1" applyFill="1"/>
    <xf numFmtId="165" fontId="8" fillId="10" borderId="4" xfId="0" applyNumberFormat="1" applyFont="1" applyFill="1" applyBorder="1"/>
    <xf numFmtId="165" fontId="8" fillId="11" borderId="4" xfId="0" applyNumberFormat="1" applyFont="1" applyFill="1" applyBorder="1"/>
    <xf numFmtId="0" fontId="10" fillId="3" borderId="1" xfId="0" applyFont="1" applyFill="1" applyBorder="1" applyAlignment="1">
      <alignment horizontal="center" vertical="center" textRotation="255"/>
    </xf>
    <xf numFmtId="165" fontId="10" fillId="12" borderId="12" xfId="0" applyNumberFormat="1" applyFont="1" applyFill="1" applyBorder="1"/>
    <xf numFmtId="165" fontId="8" fillId="9" borderId="13" xfId="0" applyNumberFormat="1" applyFont="1" applyFill="1" applyBorder="1"/>
    <xf numFmtId="165" fontId="12" fillId="7" borderId="12" xfId="0" applyNumberFormat="1" applyFont="1" applyFill="1" applyBorder="1"/>
    <xf numFmtId="165" fontId="8" fillId="6" borderId="13" xfId="0" applyNumberFormat="1" applyFont="1" applyFill="1" applyBorder="1"/>
    <xf numFmtId="0" fontId="11" fillId="0" borderId="4" xfId="0" applyFont="1" applyBorder="1"/>
    <xf numFmtId="0" fontId="8" fillId="14" borderId="0" xfId="0" applyFont="1" applyFill="1"/>
    <xf numFmtId="0" fontId="4" fillId="16" borderId="1" xfId="0" applyFont="1" applyFill="1" applyBorder="1"/>
    <xf numFmtId="0" fontId="13" fillId="9" borderId="9" xfId="0" applyFont="1" applyFill="1" applyBorder="1"/>
    <xf numFmtId="0" fontId="0" fillId="0" borderId="0" xfId="0" applyAlignment="1">
      <alignment horizontal="center"/>
    </xf>
    <xf numFmtId="0" fontId="0" fillId="17" borderId="15" xfId="0" applyFill="1" applyBorder="1" applyAlignment="1">
      <alignment horizontal="center"/>
    </xf>
    <xf numFmtId="0" fontId="15" fillId="17" borderId="16" xfId="0" applyFont="1" applyFill="1" applyBorder="1" applyAlignment="1">
      <alignment horizontal="center"/>
    </xf>
    <xf numFmtId="0" fontId="0" fillId="17" borderId="17" xfId="0" applyFill="1" applyBorder="1" applyAlignment="1">
      <alignment horizontal="center"/>
    </xf>
    <xf numFmtId="0" fontId="16" fillId="18" borderId="14" xfId="0" applyFont="1" applyFill="1" applyBorder="1"/>
    <xf numFmtId="0" fontId="16" fillId="18" borderId="19" xfId="0" applyFont="1" applyFill="1" applyBorder="1"/>
    <xf numFmtId="0" fontId="16" fillId="0" borderId="14" xfId="0" applyFont="1" applyBorder="1"/>
    <xf numFmtId="0" fontId="16" fillId="0" borderId="19" xfId="0" applyFont="1" applyBorder="1"/>
    <xf numFmtId="165" fontId="16" fillId="18" borderId="19" xfId="0" applyNumberFormat="1" applyFont="1" applyFill="1" applyBorder="1"/>
    <xf numFmtId="165" fontId="16" fillId="0" borderId="19" xfId="0" applyNumberFormat="1" applyFont="1" applyBorder="1"/>
    <xf numFmtId="14" fontId="16" fillId="18" borderId="18" xfId="0" applyNumberFormat="1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18" borderId="18" xfId="0" applyFont="1" applyFill="1" applyBorder="1" applyAlignment="1">
      <alignment horizontal="center"/>
    </xf>
    <xf numFmtId="0" fontId="16" fillId="0" borderId="0" xfId="0" applyFont="1"/>
    <xf numFmtId="165" fontId="16" fillId="0" borderId="0" xfId="1" applyNumberFormat="1" applyFont="1" applyAlignment="1"/>
    <xf numFmtId="0" fontId="19" fillId="3" borderId="26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0" fontId="12" fillId="5" borderId="6" xfId="0" applyFont="1" applyFill="1" applyBorder="1" applyAlignment="1">
      <alignment horizontal="left" vertical="top"/>
    </xf>
    <xf numFmtId="0" fontId="12" fillId="7" borderId="11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14" fontId="17" fillId="19" borderId="25" xfId="0" applyNumberFormat="1" applyFont="1" applyFill="1" applyBorder="1" applyAlignment="1" applyProtection="1">
      <alignment horizontal="center" vertical="center"/>
      <protection locked="0"/>
    </xf>
    <xf numFmtId="9" fontId="22" fillId="3" borderId="1" xfId="1" applyFont="1" applyFill="1" applyBorder="1"/>
    <xf numFmtId="0" fontId="9" fillId="20" borderId="4" xfId="0" applyFont="1" applyFill="1" applyBorder="1" applyAlignment="1">
      <alignment horizontal="center" vertical="top"/>
    </xf>
    <xf numFmtId="164" fontId="8" fillId="21" borderId="4" xfId="0" applyNumberFormat="1" applyFont="1" applyFill="1" applyBorder="1"/>
    <xf numFmtId="0" fontId="8" fillId="16" borderId="4" xfId="0" applyFont="1" applyFill="1" applyBorder="1"/>
    <xf numFmtId="0" fontId="21" fillId="22" borderId="4" xfId="2" applyFont="1" applyFill="1" applyBorder="1" applyAlignment="1">
      <alignment horizontal="center" vertical="top"/>
    </xf>
    <xf numFmtId="165" fontId="8" fillId="23" borderId="4" xfId="0" applyNumberFormat="1" applyFont="1" applyFill="1" applyBorder="1"/>
    <xf numFmtId="0" fontId="2" fillId="3" borderId="4" xfId="0" applyFont="1" applyFill="1" applyBorder="1" applyAlignment="1">
      <alignment horizontal="right"/>
    </xf>
    <xf numFmtId="9" fontId="23" fillId="3" borderId="4" xfId="1" applyFont="1" applyFill="1" applyBorder="1" applyAlignment="1">
      <alignment horizontal="center"/>
    </xf>
    <xf numFmtId="0" fontId="8" fillId="3" borderId="4" xfId="0" applyFont="1" applyFill="1" applyBorder="1"/>
    <xf numFmtId="0" fontId="10" fillId="6" borderId="4" xfId="0" applyFont="1" applyFill="1" applyBorder="1"/>
    <xf numFmtId="0" fontId="12" fillId="7" borderId="12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center" vertical="center"/>
    </xf>
    <xf numFmtId="0" fontId="26" fillId="0" borderId="0" xfId="0" applyFont="1"/>
    <xf numFmtId="165" fontId="10" fillId="6" borderId="4" xfId="0" applyNumberFormat="1" applyFont="1" applyFill="1" applyBorder="1"/>
    <xf numFmtId="166" fontId="8" fillId="23" borderId="4" xfId="1" applyNumberFormat="1" applyFont="1" applyFill="1" applyBorder="1"/>
    <xf numFmtId="166" fontId="23" fillId="3" borderId="4" xfId="1" applyNumberFormat="1" applyFont="1" applyFill="1" applyBorder="1" applyAlignment="1">
      <alignment horizontal="center"/>
    </xf>
    <xf numFmtId="166" fontId="27" fillId="3" borderId="4" xfId="1" applyNumberFormat="1" applyFont="1" applyFill="1" applyBorder="1" applyAlignment="1">
      <alignment horizontal="center"/>
    </xf>
    <xf numFmtId="166" fontId="28" fillId="3" borderId="4" xfId="1" applyNumberFormat="1" applyFont="1" applyFill="1" applyBorder="1" applyAlignment="1">
      <alignment horizontal="center"/>
    </xf>
    <xf numFmtId="165" fontId="4" fillId="14" borderId="0" xfId="0" applyNumberFormat="1" applyFont="1" applyFill="1"/>
    <xf numFmtId="44" fontId="0" fillId="0" borderId="0" xfId="0" applyNumberFormat="1"/>
    <xf numFmtId="166" fontId="2" fillId="3" borderId="4" xfId="1" applyNumberFormat="1" applyFont="1" applyFill="1" applyBorder="1" applyAlignment="1">
      <alignment horizontal="right"/>
    </xf>
    <xf numFmtId="166" fontId="29" fillId="3" borderId="4" xfId="1" applyNumberFormat="1" applyFont="1" applyFill="1" applyBorder="1" applyAlignment="1">
      <alignment horizontal="center"/>
    </xf>
    <xf numFmtId="164" fontId="19" fillId="16" borderId="27" xfId="0" applyNumberFormat="1" applyFont="1" applyFill="1" applyBorder="1" applyAlignment="1" applyProtection="1">
      <alignment horizontal="center" vertical="center"/>
      <protection locked="0"/>
    </xf>
    <xf numFmtId="44" fontId="30" fillId="3" borderId="4" xfId="0" applyNumberFormat="1" applyFont="1" applyFill="1" applyBorder="1" applyAlignment="1">
      <alignment horizontal="right"/>
    </xf>
    <xf numFmtId="44" fontId="4" fillId="0" borderId="0" xfId="0" applyNumberFormat="1" applyFont="1"/>
    <xf numFmtId="0" fontId="31" fillId="0" borderId="0" xfId="0" applyFont="1"/>
    <xf numFmtId="0" fontId="32" fillId="0" borderId="4" xfId="4"/>
    <xf numFmtId="0" fontId="13" fillId="9" borderId="4" xfId="0" applyFont="1" applyFill="1" applyBorder="1"/>
    <xf numFmtId="0" fontId="10" fillId="9" borderId="4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 vertical="top"/>
    </xf>
    <xf numFmtId="0" fontId="13" fillId="9" borderId="10" xfId="0" applyFont="1" applyFill="1" applyBorder="1"/>
    <xf numFmtId="165" fontId="16" fillId="3" borderId="3" xfId="0" applyNumberFormat="1" applyFont="1" applyFill="1" applyBorder="1"/>
    <xf numFmtId="166" fontId="34" fillId="3" borderId="4" xfId="1" applyNumberFormat="1" applyFont="1" applyFill="1" applyBorder="1" applyAlignment="1">
      <alignment horizontal="center"/>
    </xf>
    <xf numFmtId="165" fontId="16" fillId="25" borderId="3" xfId="0" applyNumberFormat="1" applyFont="1" applyFill="1" applyBorder="1"/>
    <xf numFmtId="165" fontId="8" fillId="25" borderId="3" xfId="0" applyNumberFormat="1" applyFont="1" applyFill="1" applyBorder="1"/>
    <xf numFmtId="0" fontId="19" fillId="3" borderId="29" xfId="0" applyFont="1" applyFill="1" applyBorder="1" applyAlignment="1">
      <alignment vertical="center"/>
    </xf>
    <xf numFmtId="0" fontId="19" fillId="3" borderId="28" xfId="0" applyFont="1" applyFill="1" applyBorder="1" applyAlignment="1">
      <alignment vertical="center"/>
    </xf>
    <xf numFmtId="164" fontId="19" fillId="3" borderId="30" xfId="0" applyNumberFormat="1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164" fontId="18" fillId="16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5" fillId="0" borderId="31" xfId="0" applyFont="1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5" fillId="26" borderId="31" xfId="0" applyFont="1" applyFill="1" applyBorder="1" applyAlignment="1">
      <alignment vertical="center"/>
    </xf>
    <xf numFmtId="0" fontId="5" fillId="26" borderId="40" xfId="0" applyFont="1" applyFill="1" applyBorder="1" applyAlignment="1">
      <alignment horizontal="center" vertical="center"/>
    </xf>
    <xf numFmtId="0" fontId="5" fillId="26" borderId="32" xfId="0" applyFont="1" applyFill="1" applyBorder="1" applyAlignment="1">
      <alignment horizontal="center" vertical="center"/>
    </xf>
    <xf numFmtId="0" fontId="4" fillId="26" borderId="33" xfId="0" applyFont="1" applyFill="1" applyBorder="1" applyAlignment="1">
      <alignment vertical="center"/>
    </xf>
    <xf numFmtId="165" fontId="4" fillId="27" borderId="4" xfId="0" applyNumberFormat="1" applyFont="1" applyFill="1" applyBorder="1" applyAlignment="1">
      <alignment vertical="center"/>
    </xf>
    <xf numFmtId="0" fontId="4" fillId="26" borderId="37" xfId="0" applyFont="1" applyFill="1" applyBorder="1" applyAlignment="1">
      <alignment vertical="center"/>
    </xf>
    <xf numFmtId="165" fontId="4" fillId="27" borderId="28" xfId="0" applyNumberFormat="1" applyFont="1" applyFill="1" applyBorder="1" applyAlignment="1">
      <alignment vertical="center"/>
    </xf>
    <xf numFmtId="0" fontId="37" fillId="30" borderId="35" xfId="0" applyFont="1" applyFill="1" applyBorder="1" applyAlignment="1">
      <alignment vertical="center"/>
    </xf>
    <xf numFmtId="165" fontId="37" fillId="31" borderId="39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9" borderId="31" xfId="0" applyFont="1" applyFill="1" applyBorder="1" applyAlignment="1">
      <alignment vertical="center"/>
    </xf>
    <xf numFmtId="0" fontId="5" fillId="9" borderId="40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vertical="center"/>
    </xf>
    <xf numFmtId="165" fontId="4" fillId="29" borderId="4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165" fontId="4" fillId="29" borderId="28" xfId="0" applyNumberFormat="1" applyFont="1" applyFill="1" applyBorder="1" applyAlignment="1">
      <alignment vertical="center"/>
    </xf>
    <xf numFmtId="0" fontId="38" fillId="32" borderId="35" xfId="0" applyFont="1" applyFill="1" applyBorder="1" applyAlignment="1">
      <alignment vertical="center"/>
    </xf>
    <xf numFmtId="165" fontId="38" fillId="33" borderId="39" xfId="0" applyNumberFormat="1" applyFont="1" applyFill="1" applyBorder="1" applyAlignment="1">
      <alignment vertical="center"/>
    </xf>
    <xf numFmtId="44" fontId="4" fillId="28" borderId="4" xfId="3" applyFont="1" applyFill="1" applyBorder="1" applyAlignment="1">
      <alignment vertical="center"/>
    </xf>
    <xf numFmtId="44" fontId="4" fillId="28" borderId="34" xfId="3" applyFont="1" applyFill="1" applyBorder="1" applyAlignment="1">
      <alignment vertical="center"/>
    </xf>
    <xf numFmtId="44" fontId="4" fillId="28" borderId="28" xfId="3" applyFont="1" applyFill="1" applyBorder="1" applyAlignment="1">
      <alignment vertical="center"/>
    </xf>
    <xf numFmtId="44" fontId="4" fillId="28" borderId="38" xfId="3" applyFont="1" applyFill="1" applyBorder="1" applyAlignment="1">
      <alignment vertical="center"/>
    </xf>
    <xf numFmtId="165" fontId="37" fillId="31" borderId="36" xfId="0" applyNumberFormat="1" applyFont="1" applyFill="1" applyBorder="1" applyAlignment="1">
      <alignment vertical="center"/>
    </xf>
    <xf numFmtId="165" fontId="38" fillId="33" borderId="36" xfId="0" applyNumberFormat="1" applyFont="1" applyFill="1" applyBorder="1" applyAlignment="1">
      <alignment vertical="center"/>
    </xf>
    <xf numFmtId="44" fontId="4" fillId="24" borderId="4" xfId="3" applyFont="1" applyFill="1" applyBorder="1" applyAlignment="1">
      <alignment vertical="center"/>
    </xf>
    <xf numFmtId="44" fontId="4" fillId="24" borderId="34" xfId="3" applyFont="1" applyFill="1" applyBorder="1" applyAlignment="1">
      <alignment vertical="center"/>
    </xf>
    <xf numFmtId="44" fontId="4" fillId="24" borderId="38" xfId="3" applyFont="1" applyFill="1" applyBorder="1" applyAlignment="1">
      <alignment vertical="center"/>
    </xf>
    <xf numFmtId="0" fontId="5" fillId="34" borderId="31" xfId="0" applyFont="1" applyFill="1" applyBorder="1" applyAlignment="1">
      <alignment vertical="center"/>
    </xf>
    <xf numFmtId="0" fontId="5" fillId="34" borderId="40" xfId="0" applyFont="1" applyFill="1" applyBorder="1" applyAlignment="1">
      <alignment horizontal="center" vertical="center"/>
    </xf>
    <xf numFmtId="0" fontId="5" fillId="34" borderId="32" xfId="0" applyFont="1" applyFill="1" applyBorder="1" applyAlignment="1">
      <alignment horizontal="center" vertical="center"/>
    </xf>
    <xf numFmtId="0" fontId="4" fillId="34" borderId="33" xfId="0" applyFont="1" applyFill="1" applyBorder="1" applyAlignment="1">
      <alignment vertical="center"/>
    </xf>
    <xf numFmtId="165" fontId="4" fillId="35" borderId="4" xfId="0" applyNumberFormat="1" applyFont="1" applyFill="1" applyBorder="1" applyAlignment="1">
      <alignment vertical="center"/>
    </xf>
    <xf numFmtId="44" fontId="4" fillId="36" borderId="34" xfId="3" applyFont="1" applyFill="1" applyBorder="1" applyAlignment="1">
      <alignment vertical="center"/>
    </xf>
    <xf numFmtId="0" fontId="4" fillId="34" borderId="37" xfId="0" applyFont="1" applyFill="1" applyBorder="1" applyAlignment="1">
      <alignment vertical="center"/>
    </xf>
    <xf numFmtId="165" fontId="4" fillId="35" borderId="28" xfId="0" applyNumberFormat="1" applyFont="1" applyFill="1" applyBorder="1" applyAlignment="1">
      <alignment vertical="center"/>
    </xf>
    <xf numFmtId="44" fontId="4" fillId="36" borderId="38" xfId="3" applyFont="1" applyFill="1" applyBorder="1" applyAlignment="1">
      <alignment vertical="center"/>
    </xf>
    <xf numFmtId="0" fontId="39" fillId="37" borderId="35" xfId="0" applyFont="1" applyFill="1" applyBorder="1" applyAlignment="1">
      <alignment vertical="center"/>
    </xf>
    <xf numFmtId="165" fontId="39" fillId="38" borderId="39" xfId="0" applyNumberFormat="1" applyFont="1" applyFill="1" applyBorder="1" applyAlignment="1">
      <alignment vertical="center"/>
    </xf>
    <xf numFmtId="165" fontId="39" fillId="38" borderId="36" xfId="0" applyNumberFormat="1" applyFont="1" applyFill="1" applyBorder="1" applyAlignment="1">
      <alignment vertical="center"/>
    </xf>
    <xf numFmtId="0" fontId="5" fillId="39" borderId="31" xfId="0" applyFont="1" applyFill="1" applyBorder="1" applyAlignment="1">
      <alignment vertical="center"/>
    </xf>
    <xf numFmtId="0" fontId="5" fillId="39" borderId="40" xfId="0" applyFont="1" applyFill="1" applyBorder="1" applyAlignment="1">
      <alignment horizontal="center" vertical="center"/>
    </xf>
    <xf numFmtId="0" fontId="5" fillId="39" borderId="32" xfId="0" applyFont="1" applyFill="1" applyBorder="1" applyAlignment="1">
      <alignment horizontal="center" vertical="center"/>
    </xf>
    <xf numFmtId="0" fontId="4" fillId="39" borderId="33" xfId="0" applyFont="1" applyFill="1" applyBorder="1" applyAlignment="1">
      <alignment vertical="center"/>
    </xf>
    <xf numFmtId="165" fontId="4" fillId="40" borderId="4" xfId="0" applyNumberFormat="1" applyFont="1" applyFill="1" applyBorder="1" applyAlignment="1">
      <alignment vertical="center"/>
    </xf>
    <xf numFmtId="44" fontId="4" fillId="41" borderId="4" xfId="3" applyFont="1" applyFill="1" applyBorder="1" applyAlignment="1">
      <alignment vertical="center"/>
    </xf>
    <xf numFmtId="44" fontId="4" fillId="41" borderId="34" xfId="3" applyFont="1" applyFill="1" applyBorder="1" applyAlignment="1">
      <alignment vertical="center"/>
    </xf>
    <xf numFmtId="0" fontId="4" fillId="39" borderId="37" xfId="0" applyFont="1" applyFill="1" applyBorder="1" applyAlignment="1">
      <alignment vertical="center"/>
    </xf>
    <xf numFmtId="165" fontId="4" fillId="40" borderId="28" xfId="0" applyNumberFormat="1" applyFont="1" applyFill="1" applyBorder="1" applyAlignment="1">
      <alignment vertical="center"/>
    </xf>
    <xf numFmtId="44" fontId="4" fillId="41" borderId="28" xfId="3" applyFont="1" applyFill="1" applyBorder="1" applyAlignment="1">
      <alignment vertical="center"/>
    </xf>
    <xf numFmtId="44" fontId="4" fillId="41" borderId="38" xfId="3" applyFont="1" applyFill="1" applyBorder="1" applyAlignment="1">
      <alignment vertical="center"/>
    </xf>
    <xf numFmtId="0" fontId="40" fillId="42" borderId="35" xfId="0" applyFont="1" applyFill="1" applyBorder="1" applyAlignment="1">
      <alignment vertical="center"/>
    </xf>
    <xf numFmtId="165" fontId="40" fillId="43" borderId="39" xfId="0" applyNumberFormat="1" applyFont="1" applyFill="1" applyBorder="1" applyAlignment="1">
      <alignment vertical="center"/>
    </xf>
    <xf numFmtId="165" fontId="40" fillId="43" borderId="36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4" fillId="39" borderId="41" xfId="0" applyFont="1" applyFill="1" applyBorder="1" applyAlignment="1">
      <alignment vertical="center"/>
    </xf>
    <xf numFmtId="165" fontId="4" fillId="40" borderId="42" xfId="0" applyNumberFormat="1" applyFont="1" applyFill="1" applyBorder="1" applyAlignment="1">
      <alignment vertical="center"/>
    </xf>
    <xf numFmtId="44" fontId="4" fillId="41" borderId="42" xfId="3" applyFont="1" applyFill="1" applyBorder="1" applyAlignment="1">
      <alignment vertical="center"/>
    </xf>
    <xf numFmtId="44" fontId="4" fillId="41" borderId="43" xfId="3" applyFont="1" applyFill="1" applyBorder="1" applyAlignment="1">
      <alignment vertical="center"/>
    </xf>
    <xf numFmtId="0" fontId="5" fillId="44" borderId="44" xfId="0" applyFont="1" applyFill="1" applyBorder="1" applyAlignment="1">
      <alignment vertical="center"/>
    </xf>
    <xf numFmtId="165" fontId="4" fillId="44" borderId="45" xfId="0" applyNumberFormat="1" applyFont="1" applyFill="1" applyBorder="1" applyAlignment="1">
      <alignment horizontal="center" vertical="center"/>
    </xf>
    <xf numFmtId="0" fontId="5" fillId="45" borderId="44" xfId="0" applyFont="1" applyFill="1" applyBorder="1" applyAlignment="1">
      <alignment vertical="center"/>
    </xf>
    <xf numFmtId="165" fontId="4" fillId="45" borderId="45" xfId="0" applyNumberFormat="1" applyFont="1" applyFill="1" applyBorder="1" applyAlignment="1">
      <alignment horizontal="center" vertical="center"/>
    </xf>
    <xf numFmtId="165" fontId="5" fillId="45" borderId="4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65" fontId="41" fillId="44" borderId="46" xfId="0" applyNumberFormat="1" applyFont="1" applyFill="1" applyBorder="1" applyAlignment="1">
      <alignment horizontal="center" vertical="center"/>
    </xf>
    <xf numFmtId="165" fontId="42" fillId="44" borderId="46" xfId="0" applyNumberFormat="1" applyFont="1" applyFill="1" applyBorder="1" applyAlignment="1">
      <alignment horizontal="center" vertical="center"/>
    </xf>
    <xf numFmtId="44" fontId="43" fillId="0" borderId="32" xfId="3" applyFont="1" applyBorder="1" applyAlignment="1">
      <alignment vertical="center"/>
    </xf>
    <xf numFmtId="0" fontId="44" fillId="26" borderId="4" xfId="0" applyFont="1" applyFill="1" applyBorder="1" applyAlignment="1">
      <alignment horizontal="center" vertical="center"/>
    </xf>
    <xf numFmtId="0" fontId="44" fillId="9" borderId="4" xfId="0" applyFont="1" applyFill="1" applyBorder="1" applyAlignment="1">
      <alignment horizontal="center" vertical="center"/>
    </xf>
    <xf numFmtId="0" fontId="44" fillId="34" borderId="4" xfId="0" applyFont="1" applyFill="1" applyBorder="1" applyAlignment="1">
      <alignment horizontal="center" vertical="center"/>
    </xf>
    <xf numFmtId="0" fontId="44" fillId="39" borderId="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9" fontId="22" fillId="28" borderId="4" xfId="1" applyFont="1" applyFill="1" applyBorder="1" applyAlignment="1">
      <alignment horizontal="center" vertical="center"/>
    </xf>
    <xf numFmtId="9" fontId="22" fillId="24" borderId="4" xfId="1" applyFont="1" applyFill="1" applyBorder="1" applyAlignment="1">
      <alignment horizontal="center" vertical="center"/>
    </xf>
    <xf numFmtId="9" fontId="22" fillId="36" borderId="4" xfId="1" applyFont="1" applyFill="1" applyBorder="1" applyAlignment="1">
      <alignment horizontal="center" vertical="center"/>
    </xf>
    <xf numFmtId="9" fontId="22" fillId="41" borderId="4" xfId="1" applyFont="1" applyFill="1" applyBorder="1" applyAlignment="1">
      <alignment horizontal="center" vertical="center"/>
    </xf>
    <xf numFmtId="9" fontId="44" fillId="46" borderId="4" xfId="1" applyFont="1" applyFill="1" applyBorder="1" applyAlignment="1">
      <alignment horizontal="center" vertical="center"/>
    </xf>
    <xf numFmtId="9" fontId="44" fillId="47" borderId="4" xfId="1" applyFont="1" applyFill="1" applyBorder="1" applyAlignment="1">
      <alignment horizontal="center" vertical="center"/>
    </xf>
    <xf numFmtId="9" fontId="44" fillId="49" borderId="4" xfId="1" applyFont="1" applyFill="1" applyBorder="1" applyAlignment="1">
      <alignment horizontal="center" vertical="center"/>
    </xf>
    <xf numFmtId="9" fontId="44" fillId="48" borderId="4" xfId="1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4" xfId="7" applyFont="1" applyAlignment="1">
      <alignment vertical="center"/>
    </xf>
    <xf numFmtId="0" fontId="22" fillId="0" borderId="4" xfId="7" applyFont="1" applyAlignment="1">
      <alignment horizontal="center" vertical="center"/>
    </xf>
    <xf numFmtId="0" fontId="16" fillId="0" borderId="4" xfId="7" applyFont="1" applyAlignment="1">
      <alignment vertical="center"/>
    </xf>
    <xf numFmtId="0" fontId="35" fillId="0" borderId="31" xfId="7" applyFont="1" applyBorder="1" applyAlignment="1">
      <alignment horizontal="right" vertical="center"/>
    </xf>
    <xf numFmtId="44" fontId="43" fillId="0" borderId="32" xfId="8" applyFont="1" applyBorder="1" applyAlignment="1">
      <alignment vertical="center"/>
    </xf>
    <xf numFmtId="0" fontId="5" fillId="26" borderId="31" xfId="7" applyFont="1" applyFill="1" applyBorder="1" applyAlignment="1">
      <alignment vertical="center"/>
    </xf>
    <xf numFmtId="0" fontId="5" fillId="26" borderId="40" xfId="7" applyFont="1" applyFill="1" applyBorder="1" applyAlignment="1">
      <alignment horizontal="center" vertical="center"/>
    </xf>
    <xf numFmtId="0" fontId="5" fillId="26" borderId="32" xfId="7" applyFont="1" applyFill="1" applyBorder="1" applyAlignment="1">
      <alignment horizontal="center" vertical="center"/>
    </xf>
    <xf numFmtId="0" fontId="44" fillId="26" borderId="4" xfId="7" applyFont="1" applyFill="1" applyAlignment="1">
      <alignment horizontal="center" vertical="center"/>
    </xf>
    <xf numFmtId="0" fontId="36" fillId="0" borderId="4" xfId="7" applyFont="1" applyAlignment="1">
      <alignment vertical="center"/>
    </xf>
    <xf numFmtId="0" fontId="0" fillId="0" borderId="33" xfId="7" applyFont="1" applyBorder="1" applyAlignment="1">
      <alignment vertical="center"/>
    </xf>
    <xf numFmtId="0" fontId="0" fillId="0" borderId="34" xfId="7" applyFont="1" applyBorder="1" applyAlignment="1">
      <alignment vertical="center"/>
    </xf>
    <xf numFmtId="0" fontId="4" fillId="26" borderId="33" xfId="7" applyFont="1" applyFill="1" applyBorder="1" applyAlignment="1">
      <alignment vertical="center"/>
    </xf>
    <xf numFmtId="165" fontId="4" fillId="27" borderId="4" xfId="7" applyNumberFormat="1" applyFont="1" applyFill="1" applyAlignment="1">
      <alignment vertical="center"/>
    </xf>
    <xf numFmtId="44" fontId="4" fillId="28" borderId="4" xfId="8" applyFont="1" applyFill="1" applyBorder="1" applyAlignment="1">
      <alignment vertical="center"/>
    </xf>
    <xf numFmtId="44" fontId="4" fillId="28" borderId="34" xfId="8" applyFont="1" applyFill="1" applyBorder="1" applyAlignment="1">
      <alignment vertical="center"/>
    </xf>
    <xf numFmtId="9" fontId="22" fillId="28" borderId="4" xfId="9" applyFont="1" applyFill="1" applyBorder="1" applyAlignment="1">
      <alignment horizontal="center" vertical="center"/>
    </xf>
    <xf numFmtId="0" fontId="4" fillId="26" borderId="37" xfId="7" applyFont="1" applyFill="1" applyBorder="1" applyAlignment="1">
      <alignment vertical="center"/>
    </xf>
    <xf numFmtId="165" fontId="4" fillId="27" borderId="28" xfId="7" applyNumberFormat="1" applyFont="1" applyFill="1" applyBorder="1" applyAlignment="1">
      <alignment vertical="center"/>
    </xf>
    <xf numFmtId="44" fontId="4" fillId="28" borderId="28" xfId="8" applyFont="1" applyFill="1" applyBorder="1" applyAlignment="1">
      <alignment vertical="center"/>
    </xf>
    <xf numFmtId="44" fontId="4" fillId="28" borderId="38" xfId="8" applyFont="1" applyFill="1" applyBorder="1" applyAlignment="1">
      <alignment vertical="center"/>
    </xf>
    <xf numFmtId="0" fontId="37" fillId="30" borderId="35" xfId="7" applyFont="1" applyFill="1" applyBorder="1" applyAlignment="1">
      <alignment vertical="center"/>
    </xf>
    <xf numFmtId="165" fontId="37" fillId="31" borderId="39" xfId="7" applyNumberFormat="1" applyFont="1" applyFill="1" applyBorder="1" applyAlignment="1">
      <alignment vertical="center"/>
    </xf>
    <xf numFmtId="165" fontId="37" fillId="31" borderId="36" xfId="7" applyNumberFormat="1" applyFont="1" applyFill="1" applyBorder="1" applyAlignment="1">
      <alignment vertical="center"/>
    </xf>
    <xf numFmtId="9" fontId="44" fillId="46" borderId="4" xfId="9" applyFont="1" applyFill="1" applyBorder="1" applyAlignment="1">
      <alignment horizontal="center" vertical="center"/>
    </xf>
    <xf numFmtId="0" fontId="4" fillId="0" borderId="4" xfId="7" applyFont="1" applyAlignment="1">
      <alignment vertical="center"/>
    </xf>
    <xf numFmtId="0" fontId="5" fillId="9" borderId="31" xfId="7" applyFont="1" applyFill="1" applyBorder="1" applyAlignment="1">
      <alignment vertical="center"/>
    </xf>
    <xf numFmtId="0" fontId="5" fillId="9" borderId="40" xfId="7" applyFont="1" applyFill="1" applyBorder="1" applyAlignment="1">
      <alignment horizontal="center" vertical="center"/>
    </xf>
    <xf numFmtId="0" fontId="5" fillId="9" borderId="32" xfId="7" applyFont="1" applyFill="1" applyBorder="1" applyAlignment="1">
      <alignment horizontal="center" vertical="center"/>
    </xf>
    <xf numFmtId="0" fontId="44" fillId="9" borderId="4" xfId="7" applyFont="1" applyFill="1" applyAlignment="1">
      <alignment horizontal="center" vertical="center"/>
    </xf>
    <xf numFmtId="0" fontId="0" fillId="0" borderId="35" xfId="7" applyFont="1" applyBorder="1" applyAlignment="1">
      <alignment vertical="center"/>
    </xf>
    <xf numFmtId="0" fontId="0" fillId="0" borderId="36" xfId="7" applyFont="1" applyBorder="1" applyAlignment="1">
      <alignment vertical="center"/>
    </xf>
    <xf numFmtId="0" fontId="4" fillId="9" borderId="33" xfId="7" applyFont="1" applyFill="1" applyBorder="1" applyAlignment="1">
      <alignment vertical="center"/>
    </xf>
    <xf numFmtId="165" fontId="4" fillId="29" borderId="4" xfId="7" applyNumberFormat="1" applyFont="1" applyFill="1" applyAlignment="1">
      <alignment vertical="center"/>
    </xf>
    <xf numFmtId="44" fontId="4" fillId="24" borderId="4" xfId="8" applyFont="1" applyFill="1" applyBorder="1" applyAlignment="1">
      <alignment vertical="center"/>
    </xf>
    <xf numFmtId="44" fontId="4" fillId="24" borderId="34" xfId="8" applyFont="1" applyFill="1" applyBorder="1" applyAlignment="1">
      <alignment vertical="center"/>
    </xf>
    <xf numFmtId="9" fontId="22" fillId="24" borderId="4" xfId="9" applyFont="1" applyFill="1" applyBorder="1" applyAlignment="1">
      <alignment horizontal="center" vertical="center"/>
    </xf>
    <xf numFmtId="165" fontId="0" fillId="0" borderId="4" xfId="7" applyNumberFormat="1" applyFont="1" applyAlignment="1">
      <alignment vertical="center"/>
    </xf>
    <xf numFmtId="0" fontId="4" fillId="9" borderId="37" xfId="7" applyFont="1" applyFill="1" applyBorder="1" applyAlignment="1">
      <alignment vertical="center"/>
    </xf>
    <xf numFmtId="165" fontId="4" fillId="29" borderId="28" xfId="7" applyNumberFormat="1" applyFont="1" applyFill="1" applyBorder="1" applyAlignment="1">
      <alignment vertical="center"/>
    </xf>
    <xf numFmtId="44" fontId="4" fillId="24" borderId="38" xfId="8" applyFont="1" applyFill="1" applyBorder="1" applyAlignment="1">
      <alignment vertical="center"/>
    </xf>
    <xf numFmtId="0" fontId="38" fillId="32" borderId="35" xfId="7" applyFont="1" applyFill="1" applyBorder="1" applyAlignment="1">
      <alignment vertical="center"/>
    </xf>
    <xf numFmtId="165" fontId="38" fillId="33" borderId="39" xfId="7" applyNumberFormat="1" applyFont="1" applyFill="1" applyBorder="1" applyAlignment="1">
      <alignment vertical="center"/>
    </xf>
    <xf numFmtId="165" fontId="38" fillId="33" borderId="36" xfId="7" applyNumberFormat="1" applyFont="1" applyFill="1" applyBorder="1" applyAlignment="1">
      <alignment vertical="center"/>
    </xf>
    <xf numFmtId="9" fontId="44" fillId="47" borderId="4" xfId="9" applyFont="1" applyFill="1" applyBorder="1" applyAlignment="1">
      <alignment horizontal="center" vertical="center"/>
    </xf>
    <xf numFmtId="0" fontId="5" fillId="44" borderId="44" xfId="7" applyFont="1" applyFill="1" applyBorder="1" applyAlignment="1">
      <alignment vertical="center"/>
    </xf>
    <xf numFmtId="165" fontId="4" fillId="44" borderId="45" xfId="7" applyNumberFormat="1" applyFont="1" applyFill="1" applyBorder="1" applyAlignment="1">
      <alignment horizontal="center" vertical="center"/>
    </xf>
    <xf numFmtId="165" fontId="42" fillId="44" borderId="46" xfId="7" applyNumberFormat="1" applyFont="1" applyFill="1" applyBorder="1" applyAlignment="1">
      <alignment horizontal="center" vertical="center"/>
    </xf>
    <xf numFmtId="0" fontId="5" fillId="34" borderId="31" xfId="7" applyFont="1" applyFill="1" applyBorder="1" applyAlignment="1">
      <alignment vertical="center"/>
    </xf>
    <xf numFmtId="0" fontId="5" fillId="34" borderId="40" xfId="7" applyFont="1" applyFill="1" applyBorder="1" applyAlignment="1">
      <alignment horizontal="center" vertical="center"/>
    </xf>
    <xf numFmtId="0" fontId="5" fillId="34" borderId="32" xfId="7" applyFont="1" applyFill="1" applyBorder="1" applyAlignment="1">
      <alignment horizontal="center" vertical="center"/>
    </xf>
    <xf numFmtId="0" fontId="44" fillId="34" borderId="4" xfId="7" applyFont="1" applyFill="1" applyAlignment="1">
      <alignment horizontal="center" vertical="center"/>
    </xf>
    <xf numFmtId="0" fontId="4" fillId="34" borderId="33" xfId="7" applyFont="1" applyFill="1" applyBorder="1" applyAlignment="1">
      <alignment vertical="center"/>
    </xf>
    <xf numFmtId="165" fontId="4" fillId="35" borderId="4" xfId="7" applyNumberFormat="1" applyFont="1" applyFill="1" applyAlignment="1">
      <alignment vertical="center"/>
    </xf>
    <xf numFmtId="44" fontId="4" fillId="36" borderId="34" xfId="8" applyFont="1" applyFill="1" applyBorder="1" applyAlignment="1">
      <alignment vertical="center"/>
    </xf>
    <xf numFmtId="9" fontId="22" fillId="36" borderId="4" xfId="9" applyFont="1" applyFill="1" applyBorder="1" applyAlignment="1">
      <alignment horizontal="center" vertical="center"/>
    </xf>
    <xf numFmtId="0" fontId="4" fillId="34" borderId="37" xfId="7" applyFont="1" applyFill="1" applyBorder="1" applyAlignment="1">
      <alignment vertical="center"/>
    </xf>
    <xf numFmtId="165" fontId="4" fillId="35" borderId="28" xfId="7" applyNumberFormat="1" applyFont="1" applyFill="1" applyBorder="1" applyAlignment="1">
      <alignment vertical="center"/>
    </xf>
    <xf numFmtId="44" fontId="4" fillId="36" borderId="38" xfId="8" applyFont="1" applyFill="1" applyBorder="1" applyAlignment="1">
      <alignment vertical="center"/>
    </xf>
    <xf numFmtId="0" fontId="39" fillId="37" borderId="35" xfId="7" applyFont="1" applyFill="1" applyBorder="1" applyAlignment="1">
      <alignment vertical="center"/>
    </xf>
    <xf numFmtId="165" fontId="39" fillId="38" borderId="39" xfId="7" applyNumberFormat="1" applyFont="1" applyFill="1" applyBorder="1" applyAlignment="1">
      <alignment vertical="center"/>
    </xf>
    <xf numFmtId="165" fontId="39" fillId="38" borderId="36" xfId="7" applyNumberFormat="1" applyFont="1" applyFill="1" applyBorder="1" applyAlignment="1">
      <alignment vertical="center"/>
    </xf>
    <xf numFmtId="9" fontId="44" fillId="48" borderId="4" xfId="9" applyFont="1" applyFill="1" applyBorder="1" applyAlignment="1">
      <alignment horizontal="center" vertical="center"/>
    </xf>
    <xf numFmtId="0" fontId="5" fillId="39" borderId="31" xfId="7" applyFont="1" applyFill="1" applyBorder="1" applyAlignment="1">
      <alignment vertical="center"/>
    </xf>
    <xf numFmtId="0" fontId="5" fillId="39" borderId="40" xfId="7" applyFont="1" applyFill="1" applyBorder="1" applyAlignment="1">
      <alignment horizontal="center" vertical="center"/>
    </xf>
    <xf numFmtId="0" fontId="5" fillId="39" borderId="32" xfId="7" applyFont="1" applyFill="1" applyBorder="1" applyAlignment="1">
      <alignment horizontal="center" vertical="center"/>
    </xf>
    <xf numFmtId="0" fontId="44" fillId="39" borderId="4" xfId="7" applyFont="1" applyFill="1" applyAlignment="1">
      <alignment horizontal="center" vertical="center"/>
    </xf>
    <xf numFmtId="0" fontId="4" fillId="39" borderId="33" xfId="7" applyFont="1" applyFill="1" applyBorder="1" applyAlignment="1">
      <alignment vertical="center"/>
    </xf>
    <xf numFmtId="165" fontId="4" fillId="40" borderId="4" xfId="7" applyNumberFormat="1" applyFont="1" applyFill="1" applyAlignment="1">
      <alignment vertical="center"/>
    </xf>
    <xf numFmtId="44" fontId="4" fillId="41" borderId="4" xfId="8" applyFont="1" applyFill="1" applyBorder="1" applyAlignment="1">
      <alignment vertical="center"/>
    </xf>
    <xf numFmtId="44" fontId="4" fillId="41" borderId="34" xfId="8" applyFont="1" applyFill="1" applyBorder="1" applyAlignment="1">
      <alignment vertical="center"/>
    </xf>
    <xf numFmtId="9" fontId="22" fillId="41" borderId="4" xfId="9" applyFont="1" applyFill="1" applyBorder="1" applyAlignment="1">
      <alignment horizontal="center" vertical="center"/>
    </xf>
    <xf numFmtId="0" fontId="4" fillId="39" borderId="41" xfId="7" applyFont="1" applyFill="1" applyBorder="1" applyAlignment="1">
      <alignment vertical="center"/>
    </xf>
    <xf numFmtId="165" fontId="4" fillId="40" borderId="42" xfId="7" applyNumberFormat="1" applyFont="1" applyFill="1" applyBorder="1" applyAlignment="1">
      <alignment vertical="center"/>
    </xf>
    <xf numFmtId="44" fontId="4" fillId="41" borderId="42" xfId="8" applyFont="1" applyFill="1" applyBorder="1" applyAlignment="1">
      <alignment vertical="center"/>
    </xf>
    <xf numFmtId="44" fontId="4" fillId="41" borderId="43" xfId="8" applyFont="1" applyFill="1" applyBorder="1" applyAlignment="1">
      <alignment vertical="center"/>
    </xf>
    <xf numFmtId="0" fontId="4" fillId="39" borderId="37" xfId="7" applyFont="1" applyFill="1" applyBorder="1" applyAlignment="1">
      <alignment vertical="center"/>
    </xf>
    <xf numFmtId="165" fontId="4" fillId="40" borderId="28" xfId="7" applyNumberFormat="1" applyFont="1" applyFill="1" applyBorder="1" applyAlignment="1">
      <alignment vertical="center"/>
    </xf>
    <xf numFmtId="44" fontId="4" fillId="41" borderId="28" xfId="8" applyFont="1" applyFill="1" applyBorder="1" applyAlignment="1">
      <alignment vertical="center"/>
    </xf>
    <xf numFmtId="44" fontId="4" fillId="41" borderId="38" xfId="8" applyFont="1" applyFill="1" applyBorder="1" applyAlignment="1">
      <alignment vertical="center"/>
    </xf>
    <xf numFmtId="0" fontId="40" fillId="42" borderId="35" xfId="7" applyFont="1" applyFill="1" applyBorder="1" applyAlignment="1">
      <alignment vertical="center"/>
    </xf>
    <xf numFmtId="165" fontId="40" fillId="43" borderId="39" xfId="7" applyNumberFormat="1" applyFont="1" applyFill="1" applyBorder="1" applyAlignment="1">
      <alignment vertical="center"/>
    </xf>
    <xf numFmtId="165" fontId="40" fillId="43" borderId="36" xfId="7" applyNumberFormat="1" applyFont="1" applyFill="1" applyBorder="1" applyAlignment="1">
      <alignment vertical="center"/>
    </xf>
    <xf numFmtId="9" fontId="44" fillId="49" borderId="4" xfId="9" applyFont="1" applyFill="1" applyBorder="1" applyAlignment="1">
      <alignment horizontal="center" vertical="center"/>
    </xf>
    <xf numFmtId="165" fontId="41" fillId="44" borderId="46" xfId="7" applyNumberFormat="1" applyFont="1" applyFill="1" applyBorder="1" applyAlignment="1">
      <alignment horizontal="center" vertical="center"/>
    </xf>
    <xf numFmtId="0" fontId="5" fillId="45" borderId="44" xfId="7" applyFont="1" applyFill="1" applyBorder="1" applyAlignment="1">
      <alignment vertical="center"/>
    </xf>
    <xf numFmtId="165" fontId="4" fillId="45" borderId="45" xfId="7" applyNumberFormat="1" applyFont="1" applyFill="1" applyBorder="1" applyAlignment="1">
      <alignment horizontal="center" vertical="center"/>
    </xf>
    <xf numFmtId="165" fontId="5" fillId="45" borderId="46" xfId="7" applyNumberFormat="1" applyFont="1" applyFill="1" applyBorder="1" applyAlignment="1">
      <alignment horizontal="center" vertical="center"/>
    </xf>
    <xf numFmtId="0" fontId="5" fillId="0" borderId="31" xfId="7" applyFont="1" applyBorder="1" applyAlignment="1">
      <alignment horizontal="right" vertical="center"/>
    </xf>
    <xf numFmtId="44" fontId="45" fillId="0" borderId="32" xfId="8" applyFont="1" applyBorder="1" applyAlignment="1">
      <alignment vertical="center"/>
    </xf>
    <xf numFmtId="0" fontId="5" fillId="0" borderId="31" xfId="7" applyFont="1" applyBorder="1" applyAlignment="1">
      <alignment horizontal="center" vertical="center"/>
    </xf>
    <xf numFmtId="44" fontId="45" fillId="0" borderId="32" xfId="8" applyFont="1" applyBorder="1" applyAlignment="1">
      <alignment horizontal="center" vertical="center"/>
    </xf>
    <xf numFmtId="44" fontId="0" fillId="0" borderId="4" xfId="7" applyNumberFormat="1" applyFont="1" applyAlignment="1">
      <alignment vertical="center"/>
    </xf>
    <xf numFmtId="0" fontId="5" fillId="26" borderId="48" xfId="7" applyFont="1" applyFill="1" applyBorder="1" applyAlignment="1">
      <alignment horizontal="center" vertical="center"/>
    </xf>
    <xf numFmtId="44" fontId="4" fillId="28" borderId="49" xfId="8" applyFont="1" applyFill="1" applyBorder="1" applyAlignment="1">
      <alignment vertical="center"/>
    </xf>
    <xf numFmtId="44" fontId="4" fillId="28" borderId="50" xfId="8" applyFont="1" applyFill="1" applyBorder="1" applyAlignment="1">
      <alignment vertical="center"/>
    </xf>
    <xf numFmtId="165" fontId="37" fillId="31" borderId="51" xfId="7" applyNumberFormat="1" applyFont="1" applyFill="1" applyBorder="1" applyAlignment="1">
      <alignment vertical="center"/>
    </xf>
    <xf numFmtId="0" fontId="5" fillId="9" borderId="48" xfId="7" applyFont="1" applyFill="1" applyBorder="1" applyAlignment="1">
      <alignment horizontal="center" vertical="center"/>
    </xf>
    <xf numFmtId="44" fontId="4" fillId="24" borderId="49" xfId="8" applyFont="1" applyFill="1" applyBorder="1" applyAlignment="1">
      <alignment vertical="center"/>
    </xf>
    <xf numFmtId="44" fontId="4" fillId="24" borderId="50" xfId="8" applyFont="1" applyFill="1" applyBorder="1" applyAlignment="1">
      <alignment vertical="center"/>
    </xf>
    <xf numFmtId="165" fontId="38" fillId="33" borderId="51" xfId="7" applyNumberFormat="1" applyFont="1" applyFill="1" applyBorder="1" applyAlignment="1">
      <alignment vertical="center"/>
    </xf>
    <xf numFmtId="0" fontId="5" fillId="34" borderId="48" xfId="7" applyFont="1" applyFill="1" applyBorder="1" applyAlignment="1">
      <alignment horizontal="center" vertical="center"/>
    </xf>
    <xf numFmtId="44" fontId="4" fillId="36" borderId="49" xfId="8" applyFont="1" applyFill="1" applyBorder="1" applyAlignment="1">
      <alignment vertical="center"/>
    </xf>
    <xf numFmtId="44" fontId="4" fillId="36" borderId="50" xfId="8" applyFont="1" applyFill="1" applyBorder="1" applyAlignment="1">
      <alignment vertical="center"/>
    </xf>
    <xf numFmtId="165" fontId="39" fillId="38" borderId="51" xfId="7" applyNumberFormat="1" applyFont="1" applyFill="1" applyBorder="1" applyAlignment="1">
      <alignment vertical="center"/>
    </xf>
    <xf numFmtId="0" fontId="5" fillId="39" borderId="48" xfId="7" applyFont="1" applyFill="1" applyBorder="1" applyAlignment="1">
      <alignment horizontal="center" vertical="center"/>
    </xf>
    <xf numFmtId="44" fontId="4" fillId="41" borderId="49" xfId="8" applyFont="1" applyFill="1" applyBorder="1" applyAlignment="1">
      <alignment vertical="center"/>
    </xf>
    <xf numFmtId="44" fontId="4" fillId="41" borderId="52" xfId="8" applyFont="1" applyFill="1" applyBorder="1" applyAlignment="1">
      <alignment vertical="center"/>
    </xf>
    <xf numFmtId="44" fontId="4" fillId="41" borderId="50" xfId="8" applyFont="1" applyFill="1" applyBorder="1" applyAlignment="1">
      <alignment vertical="center"/>
    </xf>
    <xf numFmtId="165" fontId="40" fillId="43" borderId="51" xfId="7" applyNumberFormat="1" applyFont="1" applyFill="1" applyBorder="1" applyAlignment="1">
      <alignment vertical="center"/>
    </xf>
    <xf numFmtId="0" fontId="5" fillId="0" borderId="35" xfId="7" applyFont="1" applyBorder="1" applyAlignment="1">
      <alignment horizontal="center" vertical="center"/>
    </xf>
    <xf numFmtId="44" fontId="45" fillId="0" borderId="36" xfId="8" applyFont="1" applyBorder="1" applyAlignment="1">
      <alignment horizontal="center" vertical="center"/>
    </xf>
    <xf numFmtId="0" fontId="46" fillId="0" borderId="4" xfId="7" applyFont="1" applyAlignment="1">
      <alignment vertical="center"/>
    </xf>
    <xf numFmtId="165" fontId="37" fillId="44" borderId="47" xfId="7" applyNumberFormat="1" applyFont="1" applyFill="1" applyBorder="1" applyAlignment="1">
      <alignment horizontal="center" vertical="center"/>
    </xf>
    <xf numFmtId="165" fontId="37" fillId="44" borderId="46" xfId="7" applyNumberFormat="1" applyFont="1" applyFill="1" applyBorder="1" applyAlignment="1">
      <alignment horizontal="center" vertical="center"/>
    </xf>
    <xf numFmtId="165" fontId="47" fillId="44" borderId="46" xfId="7" applyNumberFormat="1" applyFont="1" applyFill="1" applyBorder="1" applyAlignment="1">
      <alignment horizontal="center" vertical="center"/>
    </xf>
    <xf numFmtId="165" fontId="37" fillId="45" borderId="46" xfId="7" applyNumberFormat="1" applyFont="1" applyFill="1" applyBorder="1" applyAlignment="1">
      <alignment horizontal="center" vertical="center"/>
    </xf>
    <xf numFmtId="165" fontId="37" fillId="45" borderId="47" xfId="7" applyNumberFormat="1" applyFont="1" applyFill="1" applyBorder="1" applyAlignment="1">
      <alignment horizontal="center" vertical="center"/>
    </xf>
    <xf numFmtId="165" fontId="47" fillId="44" borderId="47" xfId="7" applyNumberFormat="1" applyFont="1" applyFill="1" applyBorder="1" applyAlignment="1">
      <alignment horizontal="center" vertical="center"/>
    </xf>
    <xf numFmtId="44" fontId="48" fillId="24" borderId="49" xfId="8" applyFont="1" applyFill="1" applyBorder="1" applyAlignment="1">
      <alignment vertical="center"/>
    </xf>
    <xf numFmtId="167" fontId="0" fillId="0" borderId="4" xfId="7" applyNumberFormat="1" applyFont="1" applyAlignment="1">
      <alignment vertical="center"/>
    </xf>
    <xf numFmtId="0" fontId="15" fillId="0" borderId="4" xfId="7" applyFont="1" applyAlignment="1">
      <alignment vertical="center"/>
    </xf>
    <xf numFmtId="10" fontId="16" fillId="0" borderId="4" xfId="1" applyNumberFormat="1" applyFont="1" applyBorder="1" applyAlignment="1">
      <alignment horizontal="center" vertical="center"/>
    </xf>
    <xf numFmtId="10" fontId="16" fillId="0" borderId="4" xfId="7" applyNumberFormat="1" applyFont="1" applyAlignment="1">
      <alignment horizontal="center" vertical="center"/>
    </xf>
    <xf numFmtId="10" fontId="36" fillId="0" borderId="4" xfId="7" applyNumberFormat="1" applyFont="1" applyAlignment="1">
      <alignment horizontal="center" vertical="center"/>
    </xf>
    <xf numFmtId="44" fontId="48" fillId="28" borderId="49" xfId="8" applyFont="1" applyFill="1" applyBorder="1" applyAlignment="1">
      <alignment vertical="center"/>
    </xf>
    <xf numFmtId="165" fontId="47" fillId="31" borderId="51" xfId="7" applyNumberFormat="1" applyFont="1" applyFill="1" applyBorder="1" applyAlignment="1">
      <alignment vertical="center"/>
    </xf>
    <xf numFmtId="165" fontId="47" fillId="38" borderId="51" xfId="7" applyNumberFormat="1" applyFont="1" applyFill="1" applyBorder="1" applyAlignment="1">
      <alignment vertical="center"/>
    </xf>
    <xf numFmtId="165" fontId="6" fillId="33" borderId="51" xfId="7" applyNumberFormat="1" applyFont="1" applyFill="1" applyBorder="1" applyAlignment="1">
      <alignment vertical="center"/>
    </xf>
    <xf numFmtId="165" fontId="47" fillId="45" borderId="47" xfId="7" applyNumberFormat="1" applyFont="1" applyFill="1" applyBorder="1" applyAlignment="1">
      <alignment horizontal="center" vertical="center"/>
    </xf>
    <xf numFmtId="0" fontId="49" fillId="0" borderId="4" xfId="7" applyFont="1" applyAlignment="1">
      <alignment vertical="center"/>
    </xf>
    <xf numFmtId="0" fontId="50" fillId="0" borderId="4" xfId="7" applyFont="1" applyAlignment="1">
      <alignment vertical="center"/>
    </xf>
    <xf numFmtId="0" fontId="0" fillId="50" borderId="4" xfId="7" applyFont="1" applyFill="1" applyAlignment="1">
      <alignment vertical="center"/>
    </xf>
    <xf numFmtId="0" fontId="51" fillId="51" borderId="4" xfId="7" applyFont="1" applyFill="1" applyAlignment="1">
      <alignment horizontal="center" vertical="center"/>
    </xf>
    <xf numFmtId="0" fontId="51" fillId="52" borderId="4" xfId="7" applyFont="1" applyFill="1" applyAlignment="1">
      <alignment horizontal="center" vertical="center"/>
    </xf>
    <xf numFmtId="0" fontId="51" fillId="0" borderId="4" xfId="7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right" vertical="center"/>
    </xf>
    <xf numFmtId="0" fontId="17" fillId="3" borderId="24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 textRotation="255"/>
    </xf>
    <xf numFmtId="0" fontId="11" fillId="0" borderId="4" xfId="0" applyFont="1" applyBorder="1"/>
    <xf numFmtId="0" fontId="5" fillId="3" borderId="2" xfId="0" applyFont="1" applyFill="1" applyBorder="1" applyAlignment="1">
      <alignment horizontal="center" vertical="center" textRotation="255"/>
    </xf>
    <xf numFmtId="0" fontId="6" fillId="0" borderId="4" xfId="0" applyFont="1" applyBorder="1"/>
    <xf numFmtId="0" fontId="21" fillId="5" borderId="7" xfId="2" applyFont="1" applyFill="1" applyBorder="1" applyAlignment="1">
      <alignment horizontal="center" vertical="top"/>
    </xf>
    <xf numFmtId="0" fontId="21" fillId="5" borderId="8" xfId="2" applyFont="1" applyFill="1" applyBorder="1" applyAlignment="1">
      <alignment horizontal="center" vertical="top"/>
    </xf>
    <xf numFmtId="0" fontId="12" fillId="8" borderId="6" xfId="0" applyFont="1" applyFill="1" applyBorder="1" applyAlignment="1">
      <alignment horizontal="left" vertical="top"/>
    </xf>
    <xf numFmtId="0" fontId="12" fillId="8" borderId="7" xfId="0" applyFont="1" applyFill="1" applyBorder="1" applyAlignment="1">
      <alignment horizontal="left" vertical="top"/>
    </xf>
    <xf numFmtId="0" fontId="12" fillId="8" borderId="8" xfId="0" applyFont="1" applyFill="1" applyBorder="1" applyAlignment="1">
      <alignment horizontal="left" vertical="top"/>
    </xf>
    <xf numFmtId="0" fontId="51" fillId="52" borderId="4" xfId="7" applyFont="1" applyFill="1" applyAlignment="1">
      <alignment horizontal="center" vertical="center"/>
    </xf>
    <xf numFmtId="0" fontId="51" fillId="51" borderId="4" xfId="7" applyFont="1" applyFill="1" applyAlignment="1">
      <alignment horizontal="center" vertical="center"/>
    </xf>
    <xf numFmtId="44" fontId="4" fillId="41" borderId="53" xfId="8" applyFont="1" applyFill="1" applyBorder="1" applyAlignment="1">
      <alignment vertical="center"/>
    </xf>
    <xf numFmtId="44" fontId="4" fillId="41" borderId="54" xfId="8" applyFont="1" applyFill="1" applyBorder="1" applyAlignment="1">
      <alignment vertical="center"/>
    </xf>
    <xf numFmtId="9" fontId="0" fillId="0" borderId="4" xfId="1" applyFont="1" applyBorder="1" applyAlignment="1">
      <alignment vertical="center"/>
    </xf>
    <xf numFmtId="44" fontId="4" fillId="41" borderId="49" xfId="8" applyFont="1" applyFill="1" applyBorder="1" applyAlignment="1">
      <alignment horizontal="center" vertical="center"/>
    </xf>
    <xf numFmtId="44" fontId="4" fillId="41" borderId="52" xfId="8" applyFont="1" applyFill="1" applyBorder="1" applyAlignment="1">
      <alignment horizontal="center" vertical="center"/>
    </xf>
    <xf numFmtId="44" fontId="4" fillId="41" borderId="54" xfId="8" applyFont="1" applyFill="1" applyBorder="1" applyAlignment="1">
      <alignment horizontal="center" vertical="center"/>
    </xf>
    <xf numFmtId="44" fontId="4" fillId="41" borderId="50" xfId="8" applyFont="1" applyFill="1" applyBorder="1" applyAlignment="1">
      <alignment horizontal="center" vertical="center"/>
    </xf>
    <xf numFmtId="0" fontId="0" fillId="0" borderId="31" xfId="7" applyFont="1" applyBorder="1" applyAlignment="1">
      <alignment vertical="center"/>
    </xf>
    <xf numFmtId="0" fontId="51" fillId="52" borderId="40" xfId="7" applyFont="1" applyFill="1" applyBorder="1" applyAlignment="1">
      <alignment horizontal="center" vertical="center"/>
    </xf>
    <xf numFmtId="0" fontId="0" fillId="0" borderId="40" xfId="7" applyFont="1" applyBorder="1" applyAlignment="1">
      <alignment vertical="center"/>
    </xf>
    <xf numFmtId="0" fontId="51" fillId="51" borderId="40" xfId="7" applyFont="1" applyFill="1" applyBorder="1" applyAlignment="1">
      <alignment horizontal="center" vertical="center"/>
    </xf>
    <xf numFmtId="0" fontId="51" fillId="51" borderId="40" xfId="7" applyFont="1" applyFill="1" applyBorder="1" applyAlignment="1">
      <alignment horizontal="center" vertical="center"/>
    </xf>
    <xf numFmtId="0" fontId="51" fillId="51" borderId="32" xfId="7" applyFont="1" applyFill="1" applyBorder="1" applyAlignment="1">
      <alignment horizontal="center" vertical="center"/>
    </xf>
    <xf numFmtId="0" fontId="51" fillId="52" borderId="4" xfId="7" applyFont="1" applyFill="1" applyBorder="1" applyAlignment="1">
      <alignment horizontal="center" vertical="center"/>
    </xf>
    <xf numFmtId="0" fontId="51" fillId="0" borderId="4" xfId="7" applyFont="1" applyBorder="1" applyAlignment="1">
      <alignment horizontal="center" vertical="center"/>
    </xf>
    <xf numFmtId="0" fontId="0" fillId="0" borderId="4" xfId="7" applyFont="1" applyBorder="1" applyAlignment="1">
      <alignment vertical="center"/>
    </xf>
    <xf numFmtId="0" fontId="0" fillId="50" borderId="4" xfId="7" applyFont="1" applyFill="1" applyBorder="1" applyAlignment="1">
      <alignment vertical="center"/>
    </xf>
    <xf numFmtId="0" fontId="51" fillId="51" borderId="4" xfId="7" applyFont="1" applyFill="1" applyBorder="1" applyAlignment="1">
      <alignment horizontal="center" vertical="center"/>
    </xf>
    <xf numFmtId="0" fontId="51" fillId="51" borderId="34" xfId="7" applyFont="1" applyFill="1" applyBorder="1" applyAlignment="1">
      <alignment horizontal="center" vertical="center"/>
    </xf>
    <xf numFmtId="0" fontId="4" fillId="0" borderId="33" xfId="7" applyFont="1" applyBorder="1" applyAlignment="1">
      <alignment vertical="center"/>
    </xf>
    <xf numFmtId="0" fontId="4" fillId="0" borderId="4" xfId="7" applyFont="1" applyBorder="1" applyAlignment="1">
      <alignment vertical="center"/>
    </xf>
    <xf numFmtId="0" fontId="4" fillId="0" borderId="34" xfId="7" applyFont="1" applyBorder="1" applyAlignment="1">
      <alignment vertical="center"/>
    </xf>
    <xf numFmtId="0" fontId="46" fillId="0" borderId="4" xfId="7" applyFont="1" applyBorder="1" applyAlignment="1">
      <alignment vertical="center"/>
    </xf>
    <xf numFmtId="0" fontId="50" fillId="0" borderId="4" xfId="7" applyFont="1" applyBorder="1" applyAlignment="1">
      <alignment vertical="center"/>
    </xf>
    <xf numFmtId="9" fontId="0" fillId="0" borderId="34" xfId="1" applyFont="1" applyBorder="1" applyAlignment="1">
      <alignment vertical="center"/>
    </xf>
    <xf numFmtId="9" fontId="0" fillId="0" borderId="39" xfId="1" applyFont="1" applyBorder="1" applyAlignment="1">
      <alignment vertical="center"/>
    </xf>
    <xf numFmtId="0" fontId="0" fillId="0" borderId="39" xfId="7" applyFont="1" applyBorder="1" applyAlignment="1">
      <alignment vertical="center"/>
    </xf>
    <xf numFmtId="9" fontId="0" fillId="0" borderId="36" xfId="1" applyFont="1" applyBorder="1" applyAlignment="1">
      <alignment vertical="center"/>
    </xf>
  </cellXfs>
  <cellStyles count="12">
    <cellStyle name="Hiperlink" xfId="2" builtinId="8"/>
    <cellStyle name="Moeda" xfId="3" builtinId="4"/>
    <cellStyle name="Moeda 2" xfId="5" xr:uid="{3AF2C346-04D8-4E89-9497-83DB97116358}"/>
    <cellStyle name="Moeda 3" xfId="8" xr:uid="{38BCF20A-8C39-4C43-B9B9-D708453E0D8E}"/>
    <cellStyle name="Moeda 4" xfId="11" xr:uid="{F3EA4D92-BC21-47FB-B682-5D230BE802D9}"/>
    <cellStyle name="Normal" xfId="0" builtinId="0"/>
    <cellStyle name="Normal 2" xfId="4" xr:uid="{52F182E7-3F7B-468F-A905-35C1302ED136}"/>
    <cellStyle name="Normal 3" xfId="7" xr:uid="{6E95BAE3-2833-4DA7-8B7B-24631B4742F8}"/>
    <cellStyle name="Normal 4" xfId="10" xr:uid="{4916B45B-278C-495F-BEC5-BB3A73936105}"/>
    <cellStyle name="Porcentagem" xfId="1" builtinId="5"/>
    <cellStyle name="Porcentagem 2" xfId="6" xr:uid="{72C28626-54D8-464B-9412-246AF14096BD}"/>
    <cellStyle name="Porcentagem 3" xfId="9" xr:uid="{6AFBA8E2-4FA2-4211-8816-4DED45D476FD}"/>
  </cellStyles>
  <dxfs count="35">
    <dxf>
      <font>
        <color rgb="FF9C0006"/>
      </font>
      <fill>
        <patternFill patternType="solid">
          <bgColor rgb="FFF2DBDB"/>
        </patternFill>
      </fill>
    </dxf>
    <dxf>
      <font>
        <color rgb="FF76923C"/>
      </font>
      <fill>
        <patternFill patternType="solid">
          <fgColor rgb="FFF2DBDB"/>
          <bgColor rgb="FFF2DBDB"/>
        </patternFill>
      </fill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_-[$R$-416]\ * #,##0.00_-;\-[$R$-416]\ * #,##0.00_-;_-[$R$-416]\ * &quot;-&quot;??_-;_-@_-"/>
      <border diagonalUp="0" diagonalDown="0" outline="0">
        <left style="thin">
          <color rgb="FFFFB9B9"/>
        </left>
        <right/>
        <top style="thin">
          <color rgb="FFFFB9B9"/>
        </top>
        <bottom style="thin">
          <color rgb="FFFFB9B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rgb="FFFFB9B9"/>
        </left>
        <right style="thin">
          <color rgb="FFFFB9B9"/>
        </right>
        <top style="thin">
          <color rgb="FFFFB9B9"/>
        </top>
        <bottom style="thin">
          <color rgb="FFFFB9B9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border diagonalUp="0" diagonalDown="0" outline="0">
        <left style="thin">
          <color rgb="FFFFB9B9"/>
        </left>
        <right style="thin">
          <color rgb="FFFFB9B9"/>
        </right>
        <top style="thin">
          <color rgb="FFFFB9B9"/>
        </top>
        <bottom style="thin">
          <color rgb="FFFFB9B9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FFB9B9"/>
        </right>
        <top style="thin">
          <color rgb="FFFFB9B9"/>
        </top>
        <bottom style="thin">
          <color rgb="FFFFB9B9"/>
        </bottom>
      </border>
    </dxf>
    <dxf>
      <border>
        <top style="thin">
          <color rgb="FFFFB9B9"/>
        </top>
      </border>
    </dxf>
    <dxf>
      <border diagonalUp="0" diagonalDown="0">
        <left style="thin">
          <color rgb="FFFFB9B9"/>
        </left>
        <right style="thin">
          <color rgb="FFFFB9B9"/>
        </right>
        <top style="thin">
          <color rgb="FFFFB9B9"/>
        </top>
        <bottom style="thin">
          <color rgb="FFFFB9B9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>
        <bottom style="thin">
          <color rgb="FFFFB9B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76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B9B9"/>
        </left>
        <right style="thin">
          <color rgb="FFFFB9B9"/>
        </right>
        <top/>
        <bottom/>
        <vertical style="thin">
          <color rgb="FFFFB9B9"/>
        </vertical>
        <horizontal style="thin">
          <color rgb="FFFFB9B9"/>
        </horizontal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_-[$R$-416]\ * #,##0.00_-;\-[$R$-416]\ * #,##0.00_-;_-[$R$-416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760000"/>
      <color rgb="FFDBE5F1"/>
      <color rgb="FFF9EDED"/>
      <color rgb="FFFFB9B9"/>
      <color rgb="FFF2DBDB"/>
      <color rgb="FFA5A5A5"/>
      <color rgb="FFCC9900"/>
      <color rgb="FFE5B5B5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10397553516819572"/>
          <c:y val="7.8782475213409156E-2"/>
          <c:w val="0.78283079293987334"/>
          <c:h val="0.87428868966402884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'Orçado x Realizado'!$D$14</c:f>
              <c:strCache>
                <c:ptCount val="1"/>
                <c:pt idx="0">
                  <c:v>Orçado</c:v>
                </c:pt>
              </c:strCache>
            </c:strRef>
          </c:tx>
          <c:spPr>
            <a:solidFill>
              <a:srgbClr val="ED7D3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'Orçado x Realizado'!$C$15:$C$16</c:f>
              <c:strCache>
                <c:ptCount val="2"/>
                <c:pt idx="0">
                  <c:v>Receitas totais</c:v>
                </c:pt>
                <c:pt idx="1">
                  <c:v>Despesas totais</c:v>
                </c:pt>
              </c:strCache>
            </c:strRef>
          </c:cat>
          <c:val>
            <c:numRef>
              <c:f>'Orçado x Realizado'!$D$15:$D$16</c:f>
              <c:numCache>
                <c:formatCode>"R$"\ #,##0.00</c:formatCode>
                <c:ptCount val="2"/>
                <c:pt idx="0">
                  <c:v>167948.11</c:v>
                </c:pt>
                <c:pt idx="1">
                  <c:v>-156258.96931850002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F-4E90-A058-A57B5A82C4F1}"/>
            </c:ext>
          </c:extLst>
        </c:ser>
        <c:ser>
          <c:idx val="1"/>
          <c:order val="1"/>
          <c:tx>
            <c:strRef>
              <c:f>'Orçado x Realizado'!$E$14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2594-4E99-A9FA-FFFF54D931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'Orçado x Realizado'!$C$15:$C$16</c:f>
              <c:strCache>
                <c:ptCount val="2"/>
                <c:pt idx="0">
                  <c:v>Receitas totais</c:v>
                </c:pt>
                <c:pt idx="1">
                  <c:v>Despesas totais</c:v>
                </c:pt>
              </c:strCache>
            </c:strRef>
          </c:cat>
          <c:val>
            <c:numRef>
              <c:f>'Orçado x Realizado'!$E$15:$E$16</c:f>
              <c:numCache>
                <c:formatCode>"R$"\ 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F-4E90-A058-A57B5A82C4F1}"/>
            </c:ext>
          </c:extLst>
        </c:ser>
        <c:ser>
          <c:idx val="2"/>
          <c:order val="2"/>
          <c:tx>
            <c:strRef>
              <c:f>'Orçado x Realizado'!$F$14</c:f>
              <c:strCache>
                <c:ptCount val="1"/>
                <c:pt idx="0">
                  <c:v>Resultado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'Orçado x Realizado'!$C$15:$C$16</c:f>
              <c:strCache>
                <c:ptCount val="2"/>
                <c:pt idx="0">
                  <c:v>Receitas totais</c:v>
                </c:pt>
                <c:pt idx="1">
                  <c:v>Despesas totais</c:v>
                </c:pt>
              </c:strCache>
            </c:strRef>
          </c:cat>
          <c:val>
            <c:numRef>
              <c:f>'Orçado x Realizado'!$F$15:$F$16</c:f>
              <c:numCache>
                <c:formatCode>"R$"\ 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F-44F0-A809-6620F080AD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7992329"/>
        <c:axId val="1388144510"/>
      </c:barChart>
      <c:catAx>
        <c:axId val="2057992329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388144510"/>
        <c:crosses val="autoZero"/>
        <c:auto val="1"/>
        <c:lblAlgn val="ctr"/>
        <c:lblOffset val="100"/>
        <c:noMultiLvlLbl val="1"/>
      </c:catAx>
      <c:valAx>
        <c:axId val="1388144510"/>
        <c:scaling>
          <c:orientation val="minMax"/>
        </c:scaling>
        <c:delete val="1"/>
        <c:axPos val="b"/>
        <c:numFmt formatCode="&quot;R$&quot;\ #,##0.00" sourceLinked="1"/>
        <c:majorTickMark val="none"/>
        <c:minorTickMark val="none"/>
        <c:tickLblPos val="nextTo"/>
        <c:crossAx val="2057992329"/>
        <c:crosses val="max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90359816001756399"/>
          <c:y val="0.33152529415541682"/>
          <c:w val="7.1751615615468181E-2"/>
          <c:h val="0.33663012896753225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zero"/>
    <c:showDLblsOverMax val="1"/>
  </c:chart>
  <c:spPr>
    <a:noFill/>
    <a:ln>
      <a:solidFill>
        <a:schemeClr val="bg2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Or&#231;ado x Realizado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Or&#231;ado x Realizado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145912</xdr:colOff>
      <xdr:row>2</xdr:row>
      <xdr:rowOff>162478</xdr:rowOff>
    </xdr:from>
    <xdr:to>
      <xdr:col>8</xdr:col>
      <xdr:colOff>1524000</xdr:colOff>
      <xdr:row>6</xdr:row>
      <xdr:rowOff>161236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E5F54C33-3F86-4DD7-B49A-1F2B89353760}"/>
            </a:ext>
          </a:extLst>
        </xdr:cNvPr>
        <xdr:cNvSpPr/>
      </xdr:nvSpPr>
      <xdr:spPr>
        <a:xfrm>
          <a:off x="286716" y="767108"/>
          <a:ext cx="7797110" cy="793889"/>
        </a:xfrm>
        <a:prstGeom prst="roundRect">
          <a:avLst/>
        </a:prstGeom>
        <a:solidFill>
          <a:srgbClr val="DBE5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140096</xdr:colOff>
      <xdr:row>0</xdr:row>
      <xdr:rowOff>94458</xdr:rowOff>
    </xdr:from>
    <xdr:ext cx="796131" cy="196148"/>
    <xdr:pic>
      <xdr:nvPicPr>
        <xdr:cNvPr id="3" name="image5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96" y="94458"/>
          <a:ext cx="796131" cy="196148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1935645</xdr:colOff>
      <xdr:row>9</xdr:row>
      <xdr:rowOff>80901</xdr:rowOff>
    </xdr:from>
    <xdr:to>
      <xdr:col>8</xdr:col>
      <xdr:colOff>2240446</xdr:colOff>
      <xdr:row>11</xdr:row>
      <xdr:rowOff>107872</xdr:rowOff>
    </xdr:to>
    <xdr:pic>
      <xdr:nvPicPr>
        <xdr:cNvPr id="6" name="Picture 6" descr="Logo CVX Brasil_site_1 – CVX Brasil">
          <a:extLst>
            <a:ext uri="{FF2B5EF4-FFF2-40B4-BE49-F238E27FC236}">
              <a16:creationId xmlns:a16="http://schemas.microsoft.com/office/drawing/2014/main" id="{E52563D4-A2D1-4ACF-BAFB-449098C102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536"/>
        <a:stretch/>
      </xdr:blipFill>
      <xdr:spPr bwMode="auto">
        <a:xfrm>
          <a:off x="8478906" y="2077010"/>
          <a:ext cx="307976" cy="42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134178</xdr:colOff>
      <xdr:row>68</xdr:row>
      <xdr:rowOff>85444</xdr:rowOff>
    </xdr:from>
    <xdr:to>
      <xdr:col>9</xdr:col>
      <xdr:colOff>2027</xdr:colOff>
      <xdr:row>76</xdr:row>
      <xdr:rowOff>31198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1DF8339-33D5-4705-B572-B06CE3019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77439" y="13354183"/>
          <a:ext cx="2924132" cy="1405426"/>
        </a:xfrm>
        <a:prstGeom prst="rect">
          <a:avLst/>
        </a:prstGeom>
      </xdr:spPr>
    </xdr:pic>
    <xdr:clientData/>
  </xdr:twoCellAnchor>
  <xdr:twoCellAnchor editAs="oneCell">
    <xdr:from>
      <xdr:col>8</xdr:col>
      <xdr:colOff>84068</xdr:colOff>
      <xdr:row>51</xdr:row>
      <xdr:rowOff>6856</xdr:rowOff>
    </xdr:from>
    <xdr:to>
      <xdr:col>9</xdr:col>
      <xdr:colOff>1021236</xdr:colOff>
      <xdr:row>66</xdr:row>
      <xdr:rowOff>140804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9FEFB6E-CABD-4750-897E-7AE76D6E9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7329" y="10037095"/>
          <a:ext cx="3993451" cy="2991448"/>
        </a:xfrm>
        <a:prstGeom prst="rect">
          <a:avLst/>
        </a:prstGeom>
      </xdr:spPr>
    </xdr:pic>
    <xdr:clientData/>
  </xdr:twoCellAnchor>
  <xdr:twoCellAnchor>
    <xdr:from>
      <xdr:col>1</xdr:col>
      <xdr:colOff>145912</xdr:colOff>
      <xdr:row>7</xdr:row>
      <xdr:rowOff>35064</xdr:rowOff>
    </xdr:from>
    <xdr:to>
      <xdr:col>8</xdr:col>
      <xdr:colOff>1524000</xdr:colOff>
      <xdr:row>11</xdr:row>
      <xdr:rowOff>40172</xdr:rowOff>
    </xdr:to>
    <xdr:sp macro="" textlink="">
      <xdr:nvSpPr>
        <xdr:cNvPr id="14" name="Retângulo: Cantos Arredondados 13">
          <a:extLst>
            <a:ext uri="{FF2B5EF4-FFF2-40B4-BE49-F238E27FC236}">
              <a16:creationId xmlns:a16="http://schemas.microsoft.com/office/drawing/2014/main" id="{EAFF8B0A-6110-4013-B99C-AF350E6D2D3D}"/>
            </a:ext>
          </a:extLst>
        </xdr:cNvPr>
        <xdr:cNvSpPr/>
      </xdr:nvSpPr>
      <xdr:spPr>
        <a:xfrm>
          <a:off x="286716" y="1633607"/>
          <a:ext cx="7797110" cy="800239"/>
        </a:xfrm>
        <a:prstGeom prst="roundRect">
          <a:avLst/>
        </a:prstGeom>
        <a:solidFill>
          <a:srgbClr val="F2DBD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8</xdr:col>
      <xdr:colOff>82825</xdr:colOff>
      <xdr:row>80</xdr:row>
      <xdr:rowOff>74543</xdr:rowOff>
    </xdr:from>
    <xdr:to>
      <xdr:col>9</xdr:col>
      <xdr:colOff>221696</xdr:colOff>
      <xdr:row>85</xdr:row>
      <xdr:rowOff>164060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C7BAB49-F02F-4959-ABC9-624448B06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26086" y="15554739"/>
          <a:ext cx="3188804" cy="1083430"/>
        </a:xfrm>
        <a:prstGeom prst="rect">
          <a:avLst/>
        </a:prstGeom>
      </xdr:spPr>
    </xdr:pic>
    <xdr:clientData/>
  </xdr:twoCellAnchor>
  <xdr:twoCellAnchor editAs="oneCell">
    <xdr:from>
      <xdr:col>9</xdr:col>
      <xdr:colOff>126173</xdr:colOff>
      <xdr:row>68</xdr:row>
      <xdr:rowOff>42853</xdr:rowOff>
    </xdr:from>
    <xdr:to>
      <xdr:col>12</xdr:col>
      <xdr:colOff>104500</xdr:colOff>
      <xdr:row>79</xdr:row>
      <xdr:rowOff>67248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A84C662E-FDE6-404E-BC2B-18E3AC7B2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25716" y="13311592"/>
          <a:ext cx="2817329" cy="2030719"/>
        </a:xfrm>
        <a:prstGeom prst="rect">
          <a:avLst/>
        </a:prstGeom>
      </xdr:spPr>
    </xdr:pic>
    <xdr:clientData/>
  </xdr:twoCellAnchor>
  <xdr:oneCellAnchor>
    <xdr:from>
      <xdr:col>1</xdr:col>
      <xdr:colOff>76199</xdr:colOff>
      <xdr:row>1</xdr:row>
      <xdr:rowOff>187721</xdr:rowOff>
    </xdr:from>
    <xdr:ext cx="8695083" cy="1993504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</cdr:x>
      <cdr:y>0.10526</cdr:y>
    </cdr:from>
    <cdr:to>
      <cdr:x>0.12589</cdr:x>
      <cdr:y>0.56395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C07DA4A7-8D37-4802-99C2-03C4ACE7319D}"/>
            </a:ext>
          </a:extLst>
        </cdr:cNvPr>
        <cdr:cNvSpPr txBox="1"/>
      </cdr:nvSpPr>
      <cdr:spPr>
        <a:xfrm xmlns:a="http://schemas.openxmlformats.org/drawingml/2006/main">
          <a:off x="137387" y="209844"/>
          <a:ext cx="95725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>
              <a:solidFill>
                <a:srgbClr val="002060"/>
              </a:solidFill>
            </a:rPr>
            <a:t>Receitas</a:t>
          </a:r>
        </a:p>
      </cdr:txBody>
    </cdr:sp>
  </cdr:relSizeAnchor>
  <cdr:relSizeAnchor xmlns:cdr="http://schemas.openxmlformats.org/drawingml/2006/chartDrawing">
    <cdr:from>
      <cdr:x>0.01726</cdr:x>
      <cdr:y>0.54547</cdr:y>
    </cdr:from>
    <cdr:to>
      <cdr:x>0.12736</cdr:x>
      <cdr:y>0.6994</cdr:y>
    </cdr:to>
    <cdr:sp macro="" textlink="">
      <cdr:nvSpPr>
        <cdr:cNvPr id="3" name="CaixaDeTexto 1">
          <a:extLst xmlns:a="http://schemas.openxmlformats.org/drawingml/2006/main">
            <a:ext uri="{FF2B5EF4-FFF2-40B4-BE49-F238E27FC236}">
              <a16:creationId xmlns:a16="http://schemas.microsoft.com/office/drawing/2014/main" id="{5F3324E9-C5E5-497E-9E5F-343C85F07DCC}"/>
            </a:ext>
          </a:extLst>
        </cdr:cNvPr>
        <cdr:cNvSpPr txBox="1"/>
      </cdr:nvSpPr>
      <cdr:spPr>
        <a:xfrm xmlns:a="http://schemas.openxmlformats.org/drawingml/2006/main">
          <a:off x="150112" y="1087388"/>
          <a:ext cx="957257" cy="306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00" b="1">
              <a:solidFill>
                <a:srgbClr val="760000"/>
              </a:solidFill>
            </a:rPr>
            <a:t>Despesas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168275</xdr:colOff>
      <xdr:row>0</xdr:row>
      <xdr:rowOff>63500</xdr:rowOff>
    </xdr:from>
    <xdr:to>
      <xdr:col>5</xdr:col>
      <xdr:colOff>1202187</xdr:colOff>
      <xdr:row>7</xdr:row>
      <xdr:rowOff>64025</xdr:rowOff>
    </xdr:to>
    <xdr:pic>
      <xdr:nvPicPr>
        <xdr:cNvPr id="2" name="Picture 6" descr="Logo CVX Brasil_site_1 – CVX Brasi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DB67A7-E30D-4734-94B1-DC7497CDEA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536"/>
        <a:stretch/>
      </xdr:blipFill>
      <xdr:spPr bwMode="auto">
        <a:xfrm>
          <a:off x="9845675" y="63500"/>
          <a:ext cx="1033912" cy="140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168275</xdr:colOff>
      <xdr:row>0</xdr:row>
      <xdr:rowOff>63500</xdr:rowOff>
    </xdr:from>
    <xdr:to>
      <xdr:col>5</xdr:col>
      <xdr:colOff>1199012</xdr:colOff>
      <xdr:row>7</xdr:row>
      <xdr:rowOff>67200</xdr:rowOff>
    </xdr:to>
    <xdr:pic>
      <xdr:nvPicPr>
        <xdr:cNvPr id="2" name="Picture 6" descr="Logo CVX Brasil_site_1 – CVX Brasi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54DB4-D2CB-41F4-8E21-C56B49B1EC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536"/>
        <a:stretch/>
      </xdr:blipFill>
      <xdr:spPr bwMode="auto">
        <a:xfrm>
          <a:off x="9883775" y="66675"/>
          <a:ext cx="1033912" cy="139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</xdr:colOff>
      <xdr:row>2</xdr:row>
      <xdr:rowOff>25853</xdr:rowOff>
    </xdr:from>
    <xdr:to>
      <xdr:col>2</xdr:col>
      <xdr:colOff>1086971</xdr:colOff>
      <xdr:row>8</xdr:row>
      <xdr:rowOff>179292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E0172E-686E-408C-9C10-D37155DAC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028" y="429078"/>
          <a:ext cx="2499393" cy="1226589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</xdr:colOff>
      <xdr:row>11</xdr:row>
      <xdr:rowOff>34925</xdr:rowOff>
    </xdr:from>
    <xdr:to>
      <xdr:col>2</xdr:col>
      <xdr:colOff>1020082</xdr:colOff>
      <xdr:row>14</xdr:row>
      <xdr:rowOff>161926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DE0C038-0D5E-4BA7-AAB0-CD5C0CFE5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028" y="2111375"/>
          <a:ext cx="2432504" cy="7270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2</xdr:row>
      <xdr:rowOff>58832</xdr:rowOff>
    </xdr:from>
    <xdr:to>
      <xdr:col>2</xdr:col>
      <xdr:colOff>877370</xdr:colOff>
      <xdr:row>8</xdr:row>
      <xdr:rowOff>95249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DDECF5-C8CB-44EF-AE62-F9ED1A0F0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729" y="458882"/>
          <a:ext cx="2240566" cy="11159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</xdr:colOff>
      <xdr:row>2</xdr:row>
      <xdr:rowOff>25853</xdr:rowOff>
    </xdr:from>
    <xdr:to>
      <xdr:col>2</xdr:col>
      <xdr:colOff>1086971</xdr:colOff>
      <xdr:row>8</xdr:row>
      <xdr:rowOff>179292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D0D858-C803-8945-6D1D-2AC8BB60A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475" y="429265"/>
          <a:ext cx="2504996" cy="1243585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</xdr:colOff>
      <xdr:row>11</xdr:row>
      <xdr:rowOff>34925</xdr:rowOff>
    </xdr:from>
    <xdr:to>
      <xdr:col>2</xdr:col>
      <xdr:colOff>1020082</xdr:colOff>
      <xdr:row>14</xdr:row>
      <xdr:rowOff>161926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580B29D-B82A-974D-1716-C37171C27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914" y="1912711"/>
          <a:ext cx="2438400" cy="7279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</xdr:colOff>
      <xdr:row>2</xdr:row>
      <xdr:rowOff>25853</xdr:rowOff>
    </xdr:from>
    <xdr:to>
      <xdr:col>2</xdr:col>
      <xdr:colOff>1086971</xdr:colOff>
      <xdr:row>8</xdr:row>
      <xdr:rowOff>182467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1F9787C-9D2A-4BD1-B3A9-EC2D838F8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028" y="429078"/>
          <a:ext cx="2499393" cy="1226589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</xdr:colOff>
      <xdr:row>11</xdr:row>
      <xdr:rowOff>34925</xdr:rowOff>
    </xdr:from>
    <xdr:to>
      <xdr:col>2</xdr:col>
      <xdr:colOff>1016907</xdr:colOff>
      <xdr:row>14</xdr:row>
      <xdr:rowOff>158751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38129EB-4319-4909-AD6C-3F22AB839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028" y="2111375"/>
          <a:ext cx="2432504" cy="72707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ael Riva Finatti" id="{B138EC32-CD86-44D9-A841-CA376C49DDE4}" userId="S::rafael.finatti@grupomarista.org.br::2e8db1ba-8bf1-469a-a7ea-3ee90291cc9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AB3E3A-B9BC-4544-B568-719FD522D4FC}" name="Tabela1" displayName="Tabela1" ref="B1:E46" totalsRowShown="0" headerRowDxfId="34" dataDxfId="33">
  <autoFilter ref="B1:E46" xr:uid="{56AB3E3A-B9BC-4544-B568-719FD522D4FC}"/>
  <tableColumns count="4">
    <tableColumn id="1" xr3:uid="{8089A14F-0114-4674-94A5-D70CC841309B}" name="Data" dataDxfId="32"/>
    <tableColumn id="2" xr3:uid="{1E388DCE-2265-472E-B22D-BAD34DC3B163}" name="Categoria Receita" dataDxfId="31"/>
    <tableColumn id="5" xr3:uid="{86771BB7-9613-40EF-9098-4D7146605469}" name="Descrição Receita" dataDxfId="30"/>
    <tableColumn id="4" xr3:uid="{534B6F20-03DF-418C-92A1-9F4FE6569DD7}" name="Valor" dataDxfId="29" dataCellStyle="Porcentage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B3A318-BE33-48C0-A955-DD988CE3AE06}" name="Tabela13" displayName="Tabela13" ref="B1:E51" totalsRowShown="0" headerRowDxfId="28" dataDxfId="26" headerRowBorderDxfId="27" tableBorderDxfId="25" totalsRowBorderDxfId="24">
  <autoFilter ref="B1:E51" xr:uid="{56AB3E3A-B9BC-4544-B568-719FD522D4FC}"/>
  <tableColumns count="4">
    <tableColumn id="1" xr3:uid="{70B86538-69CE-47E3-B2E0-138ADF5739B0}" name="Data" dataDxfId="23"/>
    <tableColumn id="2" xr3:uid="{B5B20E8E-962B-4A32-B176-E0F099DD82D6}" name="Categoria Despesa" dataDxfId="22"/>
    <tableColumn id="5" xr3:uid="{279BDD18-7496-4C12-9592-D75FFC7568A2}" name="Descrição Despesa" dataDxfId="21"/>
    <tableColumn id="4" xr3:uid="{416454DE-7247-4B80-A4E8-2F1F26818402}" name="Valor" dataDxfId="2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6" dT="2022-07-13T02:42:07.26" personId="{B138EC32-CD86-44D9-A841-CA376C49DDE4}" id="{FB3376DA-F0C9-4688-85D1-70D834D7F52F}">
    <text>1) 500 dólares da etapa online (total) = 2500 reais
2) 600 dólares das etapas 2023 (presencial + online) para cada um dos 5 que pediram apoio = 15000 reais
3) 6500 reais para a organização da etapa presencial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36" dT="2022-07-13T02:42:07.26" personId="{B138EC32-CD86-44D9-A841-CA376C49DDE4}" id="{2D204842-AA7B-4485-890D-6E82E516A078}">
    <text>1) 500 dólares da etapa online (total) = 2500 reais
2) 600 dólares das etapas 2023 (presencial + online) para cada um dos 5 que pediram apoio = 15000 reais
3) 6500 reais para a organização da etapa presencial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4" dT="2023-09-04T01:41:22.99" personId="{B138EC32-CD86-44D9-A841-CA376C49DDE4}" id="{D2EBF9CC-CDB5-4E5A-9962-3D77310B39D0}">
    <text xml:space="preserve">Comunidades que pagam mais seguirão diminuindo e as novas não darão conta de manter as contribuições
</text>
  </threadedComment>
  <threadedComment ref="K4" dT="2023-09-04T01:42:30.37" personId="{B138EC32-CD86-44D9-A841-CA376C49DDE4}" id="{8DEC222F-5CEA-42DD-A626-37D76560C4F4}">
    <text>Conseguiremos "estancar" a perda de arrecadação decorrente da diminuição da quantidade de comunidades que pagavam mais</text>
  </threadedComment>
  <threadedComment ref="M4" dT="2023-09-04T01:41:22.99" personId="{B138EC32-CD86-44D9-A841-CA376C49DDE4}" id="{6F148127-3323-44AC-8C78-9AB303754CBE}">
    <text xml:space="preserve">Comunidades que pagam mais seguirão diminuindo e as novas não darão conta de manter as contribuições
</text>
  </threadedComment>
  <threadedComment ref="O4" dT="2023-09-04T01:41:22.99" personId="{B138EC32-CD86-44D9-A841-CA376C49DDE4}" id="{C7CA341D-9E20-4EF4-9ED0-06330D15717A}">
    <text xml:space="preserve">Comunidades que pagam mais seguirão diminuindo e as novas não darão conta de manter as contribuições
</text>
  </threadedComment>
  <threadedComment ref="Q4" dT="2023-09-04T01:41:22.99" personId="{B138EC32-CD86-44D9-A841-CA376C49DDE4}" id="{66C09A22-0829-4B3A-AC61-7E19BA85A78F}">
    <text xml:space="preserve">Comunidades que pagam mais seguirão diminuindo e as novas não darão conta de manter as contribuições
</text>
  </threadedComment>
  <threadedComment ref="S4" dT="2023-09-04T01:41:22.99" personId="{B138EC32-CD86-44D9-A841-CA376C49DDE4}" id="{EEBE3BAB-0CC6-46AB-9B1E-2421B931352B}">
    <text xml:space="preserve">Comunidades que pagam mais seguirão diminuindo e as novas não darão conta de manter as contribuições
</text>
  </threadedComment>
  <threadedComment ref="U4" dT="2023-09-04T01:41:22.99" personId="{B138EC32-CD86-44D9-A841-CA376C49DDE4}" id="{3AABE9F9-85AD-4359-ACBF-43667CD514B1}">
    <text xml:space="preserve">Comunidades que pagam mais seguirão diminuindo e as novas não darão conta de manter as contribuições
</text>
  </threadedComment>
  <threadedComment ref="W4" dT="2023-09-04T01:41:22.99" personId="{B138EC32-CD86-44D9-A841-CA376C49DDE4}" id="{15E7685F-D82D-483B-9138-F7BD31ED0D00}">
    <text xml:space="preserve">Comunidades que pagam mais seguirão diminuindo e as novas não darão conta de manter as contribuições
</text>
  </threadedComment>
  <threadedComment ref="I6" dT="2023-09-04T01:44:17.17" personId="{B138EC32-CD86-44D9-A841-CA376C49DDE4}" id="{89B650F7-0B43-4AB2-BB80-CD1BD6883374}">
    <text>Transferiremos parte do valor que temos no fundo ordinário para o Fundo de Formação, Espiritualidade e Missão</text>
  </threadedComment>
  <threadedComment ref="K6" dT="2023-09-04T01:44:17.17" personId="{B138EC32-CD86-44D9-A841-CA376C49DDE4}" id="{DC6857E3-C8EA-4F3E-ACD5-06C31B72E34A}">
    <text>Transferiremos parte do valor que temos no fundo ordinário para o Fundo de Formação, Espiritualidade e Missão</text>
  </threadedComment>
  <threadedComment ref="M6" dT="2023-09-04T01:44:17.17" personId="{B138EC32-CD86-44D9-A841-CA376C49DDE4}" id="{47CD043E-49C6-4FD5-98E4-46A5A2CC0E68}">
    <text>Transferiremos parte do valor que temos no fundo ordinário para o Fundo de Formação, Espiritualidade e Missão</text>
  </threadedComment>
  <threadedComment ref="O6" dT="2023-09-04T01:44:17.17" personId="{B138EC32-CD86-44D9-A841-CA376C49DDE4}" id="{52482955-3BAB-4E06-9982-078ADB51317B}">
    <text>Transferiremos parte do valor que temos no fundo ordinário para o Fundo de Formação, Espiritualidade e Missão</text>
  </threadedComment>
  <threadedComment ref="Q6" dT="2023-09-04T01:44:17.17" personId="{B138EC32-CD86-44D9-A841-CA376C49DDE4}" id="{B50B771C-E0DD-45DF-874D-855B9AAA01CB}">
    <text>Transferiremos parte do valor que temos no fundo ordinário para o Fundo de Formação, Espiritualidade e Missão</text>
  </threadedComment>
  <threadedComment ref="S6" dT="2023-09-04T01:44:17.17" personId="{B138EC32-CD86-44D9-A841-CA376C49DDE4}" id="{14391DDE-6249-49F3-A004-DF2A0D476CB4}">
    <text>Transferiremos parte do valor que temos no fundo ordinário para o Fundo de Formação, Espiritualidade e Missão</text>
  </threadedComment>
  <threadedComment ref="U6" dT="2023-09-04T01:44:17.17" personId="{B138EC32-CD86-44D9-A841-CA376C49DDE4}" id="{B570882B-3C19-4C6A-9412-142DEB3215B8}">
    <text>Transferiremos parte do valor que temos no fundo ordinário para o Fundo de Formação, Espiritualidade e Missão</text>
  </threadedComment>
  <threadedComment ref="W6" dT="2023-09-04T01:44:17.17" personId="{B138EC32-CD86-44D9-A841-CA376C49DDE4}" id="{8C5E8140-F7CD-4862-B509-49F857946AE1}">
    <text>Transferiremos parte do valor que temos no fundo ordinário para o Fundo de Formação, Espiritualidade e Missão</text>
  </threadedComment>
  <threadedComment ref="I30" dT="2023-09-04T02:26:23.03" personId="{B138EC32-CD86-44D9-A841-CA376C49DDE4}" id="{EAC09629-16E3-4C8A-8F0C-1C034B9758E9}">
    <text xml:space="preserve">Ideia é passar parte do Fundo Ordinário para cá e tentar manter um valor semelhante ao que tínhamos antes de começar a gestão 2021-2023.
</text>
  </threadedComment>
  <threadedComment ref="K30" dT="2023-09-04T02:26:23.03" personId="{B138EC32-CD86-44D9-A841-CA376C49DDE4}" id="{F38EB374-2EFE-4F17-8910-C7D91EFFDCD4}">
    <text xml:space="preserve">Ideia é passar parte do Fundo Ordinário para cá e tentar manter um valor semelhante ao que tínhamos antes de começar a gestão 2021-2023.
</text>
  </threadedComment>
  <threadedComment ref="M30" dT="2023-09-04T02:26:23.03" personId="{B138EC32-CD86-44D9-A841-CA376C49DDE4}" id="{CC23AAC8-7EBA-4C77-8FEA-5BB63EC17545}">
    <text xml:space="preserve">Ideia é passar parte do Fundo Ordinário para cá e tentar manter um valor semelhante ao que tínhamos antes de começar a gestão 2021-2023.
</text>
  </threadedComment>
  <threadedComment ref="O30" dT="2023-09-04T02:26:23.03" personId="{B138EC32-CD86-44D9-A841-CA376C49DDE4}" id="{A5AA70B2-5E2B-47A4-A195-837A969F5974}">
    <text xml:space="preserve">Ideia é passar parte do Fundo Ordinário para cá e tentar manter um valor semelhante ao que tínhamos antes de começar a gestão 2021-2023.
</text>
  </threadedComment>
  <threadedComment ref="Q30" dT="2023-09-04T02:26:23.03" personId="{B138EC32-CD86-44D9-A841-CA376C49DDE4}" id="{62352ED1-7556-43AF-99DF-ECBC9B517B19}">
    <text xml:space="preserve">Ideia é passar parte do Fundo Ordinário para cá e tentar manter um valor semelhante ao que tínhamos antes de começar a gestão 2021-2023.
</text>
  </threadedComment>
  <threadedComment ref="S30" dT="2023-09-04T02:26:23.03" personId="{B138EC32-CD86-44D9-A841-CA376C49DDE4}" id="{8FC22ADF-E62F-4695-96EB-EA1ABCCB1D38}">
    <text xml:space="preserve">Ideia é passar parte do Fundo Ordinário para cá e tentar manter um valor semelhante ao que tínhamos antes de começar a gestão 2021-2023.
</text>
  </threadedComment>
  <threadedComment ref="U30" dT="2023-09-04T02:26:23.03" personId="{B138EC32-CD86-44D9-A841-CA376C49DDE4}" id="{EB316893-C57E-4067-B7DA-F35A1132FFB7}">
    <text xml:space="preserve">Ideia é passar parte do Fundo Ordinário para cá e tentar manter um valor semelhante ao que tínhamos antes de começar a gestão 2021-2023.
</text>
  </threadedComment>
  <threadedComment ref="W30" dT="2023-09-04T02:26:23.03" personId="{B138EC32-CD86-44D9-A841-CA376C49DDE4}" id="{53A23A62-5346-4267-B3B4-AE2C4E20AD8C}">
    <text xml:space="preserve">Ideia é passar parte do Fundo Ordinário para cá e tentar manter um valor semelhante ao que tínhamos antes de começar a gestão 2021-2023.
</text>
  </threadedComment>
  <threadedComment ref="C37" dT="2022-07-13T02:42:07.26" personId="{B138EC32-CD86-44D9-A841-CA376C49DDE4}" id="{8E9255C5-64D8-48D7-BBD9-03E8275C58D5}">
    <text>1) 500 dólares da etapa online (total) = 2500 reais
2) 600 dólares das etapas 2023 (presencial + online) para cada um dos 5 que pediram apoio = 15000 reais
3) 6500 reais para a organização da etapa presencial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4" dT="2023-09-04T01:41:22.99" personId="{B138EC32-CD86-44D9-A841-CA376C49DDE4}" id="{E01DD5E6-B987-470C-9D88-7A0C8BAA1E33}">
    <text xml:space="preserve">Comunidades que pagam mais seguirão diminuindo e as novas não darão conta de manter as contribuições
</text>
  </threadedComment>
  <threadedComment ref="K4" dT="2023-09-04T01:42:30.37" personId="{B138EC32-CD86-44D9-A841-CA376C49DDE4}" id="{3FC8DB4A-5F0D-40DB-BF7B-2678F49C152E}">
    <text>Conseguiremos "estancar" a perda de arrecadação decorrente da diminuição da quantidade de comunidades que pagavam mais</text>
  </threadedComment>
  <threadedComment ref="M4" dT="2023-09-04T01:41:22.99" personId="{B138EC32-CD86-44D9-A841-CA376C49DDE4}" id="{BF79A6CB-9B32-49A1-981D-C7FFE4E8E237}">
    <text xml:space="preserve">Comunidades que pagam mais seguirão diminuindo e as novas não darão conta de manter as contribuições
</text>
  </threadedComment>
  <threadedComment ref="O4" dT="2023-09-04T01:41:22.99" personId="{B138EC32-CD86-44D9-A841-CA376C49DDE4}" id="{6BE59876-A813-41C8-869B-6B24ECAE3FBC}">
    <text xml:space="preserve">Comunidades que pagam mais seguirão diminuindo e as novas não darão conta de manter as contribuições
</text>
  </threadedComment>
  <threadedComment ref="Q4" dT="2023-09-04T01:41:22.99" personId="{B138EC32-CD86-44D9-A841-CA376C49DDE4}" id="{C06930C2-56C1-4394-B89E-3CC2B22605CF}">
    <text xml:space="preserve">Comunidades que pagam mais seguirão diminuindo e as novas não darão conta de manter as contribuições
</text>
  </threadedComment>
  <threadedComment ref="S4" dT="2023-09-04T01:41:22.99" personId="{B138EC32-CD86-44D9-A841-CA376C49DDE4}" id="{77FAFE53-D833-4F24-B573-9EC509035C39}">
    <text xml:space="preserve">Comunidades que pagam mais seguirão diminuindo e as novas não darão conta de manter as contribuições
</text>
  </threadedComment>
  <threadedComment ref="U4" dT="2023-09-04T01:41:22.99" personId="{B138EC32-CD86-44D9-A841-CA376C49DDE4}" id="{13641865-F211-4F42-99BC-AC4F6C0E83B4}">
    <text xml:space="preserve">Comunidades que pagam mais seguirão diminuindo e as novas não darão conta de manter as contribuições
</text>
  </threadedComment>
  <threadedComment ref="W4" dT="2023-09-04T01:41:22.99" personId="{B138EC32-CD86-44D9-A841-CA376C49DDE4}" id="{C3054DFE-839C-43F0-B118-F7B2525891A2}">
    <text xml:space="preserve">Comunidades que pagam mais seguirão diminuindo e as novas não darão conta de manter as contribuições
</text>
  </threadedComment>
  <threadedComment ref="I6" dT="2023-09-04T01:44:17.17" personId="{B138EC32-CD86-44D9-A841-CA376C49DDE4}" id="{45562B93-CB61-4D78-A92D-6B9AE1B6A950}">
    <text>Transferiremos parte do valor que temos no fundo ordinário para o Fundo de Formação, Espiritualidade e Missão</text>
  </threadedComment>
  <threadedComment ref="K6" dT="2023-09-04T01:44:17.17" personId="{B138EC32-CD86-44D9-A841-CA376C49DDE4}" id="{5AB3C080-80F3-4820-8004-26060C00D27F}">
    <text>Transferiremos parte do valor que temos no fundo ordinário para o Fundo de Formação, Espiritualidade e Missão</text>
  </threadedComment>
  <threadedComment ref="M6" dT="2023-09-04T01:44:17.17" personId="{B138EC32-CD86-44D9-A841-CA376C49DDE4}" id="{5785AE40-9676-4B89-8306-ED69A3082040}">
    <text>Transferiremos parte do valor que temos no fundo ordinário para o Fundo de Formação, Espiritualidade e Missão</text>
  </threadedComment>
  <threadedComment ref="O6" dT="2023-09-04T01:44:17.17" personId="{B138EC32-CD86-44D9-A841-CA376C49DDE4}" id="{D1E6C244-BA81-4A19-A041-C24A02B968AF}">
    <text>Transferiremos parte do valor que temos no fundo ordinário para o Fundo de Formação, Espiritualidade e Missão</text>
  </threadedComment>
  <threadedComment ref="Q6" dT="2023-09-04T01:44:17.17" personId="{B138EC32-CD86-44D9-A841-CA376C49DDE4}" id="{21D24D7C-00A7-48BC-8B9B-8149B84A6367}">
    <text>Transferiremos parte do valor que temos no fundo ordinário para o Fundo de Formação, Espiritualidade e Missão</text>
  </threadedComment>
  <threadedComment ref="S6" dT="2023-09-04T01:44:17.17" personId="{B138EC32-CD86-44D9-A841-CA376C49DDE4}" id="{0640B340-2AB1-4E70-A887-E9DE4910EF24}">
    <text>Transferiremos parte do valor que temos no fundo ordinário para o Fundo de Formação, Espiritualidade e Missão</text>
  </threadedComment>
  <threadedComment ref="U6" dT="2023-09-04T01:44:17.17" personId="{B138EC32-CD86-44D9-A841-CA376C49DDE4}" id="{02BC4BCB-877D-4B26-9DD6-2393C39F4889}">
    <text>Transferiremos parte do valor que temos no fundo ordinário para o Fundo de Formação, Espiritualidade e Missão</text>
  </threadedComment>
  <threadedComment ref="W6" dT="2023-09-04T01:44:17.17" personId="{B138EC32-CD86-44D9-A841-CA376C49DDE4}" id="{974D1878-B97E-435A-9900-3F9CC92B8A88}">
    <text>Transferiremos parte do valor que temos no fundo ordinário para o Fundo de Formação, Espiritualidade e Missão</text>
  </threadedComment>
  <threadedComment ref="I30" dT="2023-09-04T02:26:23.03" personId="{B138EC32-CD86-44D9-A841-CA376C49DDE4}" id="{FF69E31D-C3A3-4A03-B00F-7EE55A9970BA}">
    <text xml:space="preserve">Ideia é passar parte do Fundo Ordinário para cá e tentar manter um valor semelhante ao que tínhamos antes de começar a gestão 2021-2023.
</text>
  </threadedComment>
  <threadedComment ref="K30" dT="2023-09-04T02:26:23.03" personId="{B138EC32-CD86-44D9-A841-CA376C49DDE4}" id="{11E4269A-6B2A-4861-9531-543E8863E305}">
    <text xml:space="preserve">Ideia é passar parte do Fundo Ordinário para cá e tentar manter um valor semelhante ao que tínhamos antes de começar a gestão 2021-2023.
</text>
  </threadedComment>
  <threadedComment ref="M30" dT="2023-09-04T02:26:23.03" personId="{B138EC32-CD86-44D9-A841-CA376C49DDE4}" id="{BD14ACEE-F6CD-459B-BCAD-910091CDFA1B}">
    <text xml:space="preserve">Ideia é passar parte do Fundo Ordinário para cá e tentar manter um valor semelhante ao que tínhamos antes de começar a gestão 2021-2023.
</text>
  </threadedComment>
  <threadedComment ref="O30" dT="2023-09-04T02:26:23.03" personId="{B138EC32-CD86-44D9-A841-CA376C49DDE4}" id="{71B8B538-2C82-4250-BA9E-697B718315AC}">
    <text xml:space="preserve">Ideia é passar parte do Fundo Ordinário para cá e tentar manter um valor semelhante ao que tínhamos antes de começar a gestão 2021-2023.
</text>
  </threadedComment>
  <threadedComment ref="Q30" dT="2023-09-04T02:26:23.03" personId="{B138EC32-CD86-44D9-A841-CA376C49DDE4}" id="{AE841B9E-97C4-4B27-A3A9-A492D9CCBAEC}">
    <text xml:space="preserve">Ideia é passar parte do Fundo Ordinário para cá e tentar manter um valor semelhante ao que tínhamos antes de começar a gestão 2021-2023.
</text>
  </threadedComment>
  <threadedComment ref="S30" dT="2023-09-04T02:26:23.03" personId="{B138EC32-CD86-44D9-A841-CA376C49DDE4}" id="{579386ED-E358-4F1D-9521-C2FC40F8D10E}">
    <text xml:space="preserve">Ideia é passar parte do Fundo Ordinário para cá e tentar manter um valor semelhante ao que tínhamos antes de começar a gestão 2021-2023.
</text>
  </threadedComment>
  <threadedComment ref="U30" dT="2023-09-04T02:26:23.03" personId="{B138EC32-CD86-44D9-A841-CA376C49DDE4}" id="{FF0242B6-161F-4BA0-875B-511D3945059F}">
    <text xml:space="preserve">Ideia é passar parte do Fundo Ordinário para cá e tentar manter um valor semelhante ao que tínhamos antes de começar a gestão 2021-2023.
</text>
  </threadedComment>
  <threadedComment ref="W30" dT="2023-09-04T02:26:23.03" personId="{B138EC32-CD86-44D9-A841-CA376C49DDE4}" id="{AACC067C-B1AD-4CCF-89E2-FE4598D94D21}">
    <text xml:space="preserve">Ideia é passar parte do Fundo Ordinário para cá e tentar manter um valor semelhante ao que tínhamos antes de começar a gestão 2021-2023.
</text>
  </threadedComment>
  <threadedComment ref="C37" dT="2022-07-13T02:42:07.26" personId="{B138EC32-CD86-44D9-A841-CA376C49DDE4}" id="{A5E637B3-8012-4B7C-A6AD-3F36158769B1}">
    <text>1) 500 dólares da etapa online (total) = 2500 reais
2) 600 dólares das etapas 2023 (presencial + online) para cada um dos 5 que pediram apoio = 15000 reais
3) 6500 reais para a organização da etapa presencial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H36" dT="2022-07-13T02:42:07.26" personId="{B138EC32-CD86-44D9-A841-CA376C49DDE4}" id="{FFAFAA21-3C44-4CA0-89A2-43DA6025B390}">
    <text>1) 500 dólares da etapa online (total) = 2500 reais
2) 600 dólares das etapas 2023 (presencial + online) para cada um dos 5 que pediram apoio = 15000 reais
3) 6500 reais para a organização da etapa presencial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H36" dT="2022-07-13T02:42:07.26" personId="{B138EC32-CD86-44D9-A841-CA376C49DDE4}" id="{5D59DE1F-8919-4072-B8E1-DFF6C5731F42}">
    <text>1) 500 dólares da etapa online (total) = 2500 reais
2) 600 dólares das etapas 2023 (presencial + online) para cada um dos 5 que pediram apoio = 15000 reais
3) 6500 reais para a organização da etapa presencial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O1003"/>
  <sheetViews>
    <sheetView zoomScale="70" zoomScaleNormal="70" workbookViewId="0">
      <pane ySplit="14" topLeftCell="A15" activePane="bottomLeft" state="frozen"/>
      <selection pane="bottomLeft" activeCell="O35" sqref="O35"/>
    </sheetView>
  </sheetViews>
  <sheetFormatPr defaultColWidth="11.25" defaultRowHeight="15" customHeight="1" x14ac:dyDescent="0.35"/>
  <cols>
    <col min="1" max="1" width="1.83203125" customWidth="1"/>
    <col min="2" max="2" width="34.83203125" bestFit="1" customWidth="1"/>
    <col min="3" max="3" width="4.83203125" customWidth="1"/>
    <col min="4" max="4" width="13.25" bestFit="1" customWidth="1"/>
    <col min="5" max="5" width="11.6640625" bestFit="1" customWidth="1"/>
    <col min="6" max="6" width="12.1640625" bestFit="1" customWidth="1"/>
    <col min="7" max="7" width="5.25" bestFit="1" customWidth="1"/>
    <col min="8" max="8" width="2.08203125" customWidth="1"/>
    <col min="9" max="9" width="40.1640625" bestFit="1" customWidth="1"/>
    <col min="10" max="10" width="13.58203125" bestFit="1" customWidth="1"/>
    <col min="11" max="11" width="11.4140625" bestFit="1" customWidth="1"/>
    <col min="12" max="13" width="12.1640625" bestFit="1" customWidth="1"/>
    <col min="14" max="14" width="5.33203125" bestFit="1" customWidth="1"/>
  </cols>
  <sheetData>
    <row r="1" spans="1:15" ht="32.5" customHeight="1" x14ac:dyDescent="0.35">
      <c r="A1" s="329" t="s">
        <v>112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/>
    </row>
    <row r="2" spans="1:15" ht="15.5" x14ac:dyDescent="0.35">
      <c r="A2" s="5"/>
      <c r="B2" s="1"/>
      <c r="C2" s="7"/>
      <c r="D2" s="1"/>
      <c r="E2" s="1"/>
      <c r="F2" s="1"/>
      <c r="G2" s="7"/>
      <c r="H2" s="1"/>
      <c r="I2" s="1"/>
      <c r="J2" s="5"/>
      <c r="K2" s="5"/>
      <c r="L2" s="5"/>
      <c r="M2" s="67"/>
      <c r="N2" s="5"/>
    </row>
    <row r="3" spans="1:15" ht="15.5" x14ac:dyDescent="0.35">
      <c r="A3" s="5"/>
      <c r="B3" s="1"/>
      <c r="C3" s="7"/>
      <c r="D3" s="1"/>
      <c r="E3" s="1"/>
      <c r="F3" s="1"/>
      <c r="G3" s="7"/>
      <c r="H3" s="1"/>
      <c r="I3" s="1"/>
      <c r="J3" s="5"/>
      <c r="K3" s="5"/>
      <c r="L3" s="5"/>
      <c r="M3" s="67"/>
      <c r="N3" s="5"/>
    </row>
    <row r="4" spans="1:15" ht="15.5" x14ac:dyDescent="0.35">
      <c r="A4" s="5"/>
      <c r="B4" s="1"/>
      <c r="C4" s="7"/>
      <c r="D4" s="1"/>
      <c r="E4" s="1"/>
      <c r="F4" s="1"/>
      <c r="G4" s="7"/>
      <c r="H4" s="1"/>
      <c r="I4" s="1"/>
      <c r="J4" s="5"/>
      <c r="K4" s="5"/>
      <c r="L4" s="5"/>
      <c r="M4" s="67"/>
      <c r="N4" s="5"/>
    </row>
    <row r="5" spans="1:15" ht="15.5" x14ac:dyDescent="0.35">
      <c r="A5" s="5"/>
      <c r="B5" s="1"/>
      <c r="C5" s="7"/>
      <c r="D5" s="1"/>
      <c r="E5" s="1"/>
      <c r="F5" s="1"/>
      <c r="G5" s="7"/>
      <c r="H5" s="1"/>
      <c r="I5" s="1"/>
      <c r="J5" s="5"/>
      <c r="K5" s="5"/>
      <c r="L5" s="5"/>
      <c r="M5" s="67"/>
      <c r="N5" s="5"/>
    </row>
    <row r="6" spans="1:15" ht="15.5" x14ac:dyDescent="0.35">
      <c r="A6" s="5"/>
      <c r="B6" s="1"/>
      <c r="C6" s="7"/>
      <c r="D6" s="1"/>
      <c r="E6" s="1"/>
      <c r="F6" s="1"/>
      <c r="G6" s="7"/>
      <c r="H6" s="1"/>
      <c r="I6" s="1"/>
      <c r="J6" s="5"/>
      <c r="K6" s="5"/>
      <c r="L6" s="5"/>
      <c r="M6" s="67"/>
      <c r="N6" s="5"/>
    </row>
    <row r="7" spans="1:15" ht="15.5" x14ac:dyDescent="0.35">
      <c r="A7" s="5"/>
      <c r="B7" s="1"/>
      <c r="C7" s="7"/>
      <c r="D7" s="1"/>
      <c r="E7" s="1"/>
      <c r="F7" s="1"/>
      <c r="G7" s="7"/>
      <c r="H7" s="1"/>
      <c r="I7" s="1"/>
      <c r="J7" s="5"/>
      <c r="K7" s="5"/>
      <c r="L7" s="5"/>
      <c r="M7" s="67"/>
      <c r="N7" s="5"/>
    </row>
    <row r="8" spans="1:15" ht="15.5" x14ac:dyDescent="0.35">
      <c r="A8" s="5"/>
      <c r="B8" s="1"/>
      <c r="C8" s="7"/>
      <c r="D8" s="1"/>
      <c r="E8" s="1"/>
      <c r="F8" s="1"/>
      <c r="G8" s="7"/>
      <c r="H8" s="1"/>
      <c r="I8" s="1"/>
      <c r="J8" s="55" t="s">
        <v>119</v>
      </c>
      <c r="K8" s="56"/>
      <c r="L8" s="85">
        <v>104551.77</v>
      </c>
      <c r="M8" s="67"/>
      <c r="N8" s="5"/>
      <c r="O8" s="82"/>
    </row>
    <row r="9" spans="1:15" ht="16" thickBot="1" x14ac:dyDescent="0.4">
      <c r="A9" s="5"/>
      <c r="B9" s="1"/>
      <c r="C9" s="7"/>
      <c r="D9" s="1"/>
      <c r="E9" s="1"/>
      <c r="F9" s="1"/>
      <c r="G9" s="7"/>
      <c r="H9" s="1"/>
      <c r="I9" s="1"/>
      <c r="J9" s="98" t="s">
        <v>90</v>
      </c>
      <c r="K9" s="99"/>
      <c r="L9" s="100">
        <v>83441.08</v>
      </c>
      <c r="M9" s="67"/>
      <c r="N9" s="5"/>
    </row>
    <row r="10" spans="1:15" ht="16" thickTop="1" x14ac:dyDescent="0.35">
      <c r="A10" s="5"/>
      <c r="B10" s="1"/>
      <c r="C10" s="7"/>
      <c r="D10" s="1"/>
      <c r="E10" s="1"/>
      <c r="F10" s="1"/>
      <c r="G10" s="7"/>
      <c r="H10" s="1"/>
      <c r="I10" s="1"/>
      <c r="J10" s="101" t="s">
        <v>120</v>
      </c>
      <c r="K10" s="102"/>
      <c r="L10" s="103">
        <f>+L8+L9</f>
        <v>187992.85</v>
      </c>
      <c r="M10" s="86"/>
      <c r="N10" s="5"/>
    </row>
    <row r="11" spans="1:15" ht="15.5" x14ac:dyDescent="0.35">
      <c r="A11" s="5"/>
      <c r="B11" s="1"/>
      <c r="C11" s="7"/>
      <c r="D11" s="1"/>
      <c r="E11" s="1"/>
      <c r="F11" s="1"/>
      <c r="G11" s="7"/>
      <c r="H11" s="1"/>
      <c r="I11" s="1"/>
      <c r="J11" s="5"/>
      <c r="K11" s="5"/>
      <c r="L11" s="5"/>
      <c r="M11" s="67"/>
      <c r="N11" s="5"/>
    </row>
    <row r="12" spans="1:15" ht="15.5" x14ac:dyDescent="0.35">
      <c r="A12" s="5"/>
      <c r="B12" s="7"/>
      <c r="C12" s="7"/>
      <c r="D12" s="7"/>
      <c r="E12" s="7"/>
      <c r="F12" s="7"/>
      <c r="G12" s="7"/>
      <c r="H12" s="7"/>
      <c r="I12" s="7"/>
      <c r="J12" s="332" t="s">
        <v>105</v>
      </c>
      <c r="K12" s="333"/>
      <c r="L12" s="60">
        <v>44754</v>
      </c>
      <c r="M12" s="67"/>
      <c r="N12" s="5"/>
    </row>
    <row r="13" spans="1:15" ht="15.5" x14ac:dyDescent="0.3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67"/>
      <c r="N13" s="5"/>
    </row>
    <row r="14" spans="1:15" s="3" customFormat="1" ht="15" customHeight="1" x14ac:dyDescent="0.35">
      <c r="A14" s="6"/>
      <c r="B14" s="8"/>
      <c r="C14" s="69"/>
      <c r="D14" s="9" t="s">
        <v>2</v>
      </c>
      <c r="E14" s="9" t="s">
        <v>3</v>
      </c>
      <c r="F14" s="9" t="s">
        <v>113</v>
      </c>
      <c r="G14" s="62"/>
      <c r="H14" s="8"/>
      <c r="I14" s="10"/>
      <c r="J14" s="92" t="s">
        <v>116</v>
      </c>
      <c r="K14" s="92" t="s">
        <v>117</v>
      </c>
      <c r="L14" s="92" t="s">
        <v>118</v>
      </c>
      <c r="M14" s="92" t="s">
        <v>113</v>
      </c>
      <c r="N14" s="6"/>
    </row>
    <row r="15" spans="1:15" s="3" customFormat="1" ht="15" customHeight="1" x14ac:dyDescent="0.35">
      <c r="A15" s="6"/>
      <c r="B15" s="11"/>
      <c r="C15" s="11" t="s">
        <v>5</v>
      </c>
      <c r="D15" s="12">
        <f>+D97</f>
        <v>167948.11</v>
      </c>
      <c r="E15" s="12" t="e">
        <f>+E97</f>
        <v>#REF!</v>
      </c>
      <c r="F15" s="12" t="e">
        <f>+E15-D15</f>
        <v>#REF!</v>
      </c>
      <c r="G15" s="63"/>
      <c r="H15" s="8"/>
      <c r="I15" s="340" t="s">
        <v>0</v>
      </c>
      <c r="J15" s="341"/>
      <c r="K15" s="341"/>
      <c r="L15" s="341"/>
      <c r="M15" s="342"/>
      <c r="N15" s="6"/>
    </row>
    <row r="16" spans="1:15" s="3" customFormat="1" ht="15" customHeight="1" x14ac:dyDescent="0.35">
      <c r="A16" s="6"/>
      <c r="B16" s="11"/>
      <c r="C16" s="11" t="s">
        <v>6</v>
      </c>
      <c r="D16" s="12">
        <f>+J50</f>
        <v>-156258.96931850002</v>
      </c>
      <c r="E16" s="12" t="e">
        <f>+K50+L50</f>
        <v>#REF!</v>
      </c>
      <c r="F16" s="12" t="e">
        <f>E16-D16</f>
        <v>#REF!</v>
      </c>
      <c r="G16" s="63"/>
      <c r="H16" s="8"/>
      <c r="I16" s="39" t="s">
        <v>1</v>
      </c>
      <c r="J16" s="90"/>
      <c r="K16" s="90"/>
      <c r="L16" s="90"/>
      <c r="M16" s="93"/>
      <c r="N16" s="6"/>
    </row>
    <row r="17" spans="1:15" s="3" customFormat="1" ht="15" customHeight="1" x14ac:dyDescent="0.35">
      <c r="A17" s="6"/>
      <c r="B17" s="8"/>
      <c r="C17" s="69"/>
      <c r="D17" s="8"/>
      <c r="E17" s="8"/>
      <c r="F17" s="8"/>
      <c r="G17" s="64"/>
      <c r="H17" s="8"/>
      <c r="I17" s="13" t="s">
        <v>22</v>
      </c>
      <c r="J17" s="91"/>
      <c r="K17" s="14"/>
      <c r="L17" s="14"/>
      <c r="M17" s="15"/>
      <c r="N17" s="6"/>
      <c r="O17" s="87"/>
    </row>
    <row r="18" spans="1:15" s="3" customFormat="1" ht="15" customHeight="1" x14ac:dyDescent="0.35">
      <c r="A18" s="6"/>
      <c r="B18" s="57" t="s">
        <v>4</v>
      </c>
      <c r="C18" s="72" t="s">
        <v>109</v>
      </c>
      <c r="D18" s="338" t="s">
        <v>106</v>
      </c>
      <c r="E18" s="338"/>
      <c r="F18" s="339"/>
      <c r="G18" s="65"/>
      <c r="H18" s="8"/>
      <c r="I18" s="16" t="s">
        <v>25</v>
      </c>
      <c r="J18" s="96">
        <v>-1192</v>
      </c>
      <c r="K18" s="94" t="e">
        <f>+#REF!</f>
        <v>#REF!</v>
      </c>
      <c r="L18" s="94">
        <v>0</v>
      </c>
      <c r="M18" s="18" t="e">
        <f>K18+L18-J18</f>
        <v>#REF!</v>
      </c>
      <c r="N18" s="84" t="e">
        <f>(+K18+L18)/($K$50+$L$50)</f>
        <v>#REF!</v>
      </c>
      <c r="O18" s="6"/>
    </row>
    <row r="19" spans="1:15" s="3" customFormat="1" ht="15" customHeight="1" x14ac:dyDescent="0.35">
      <c r="A19" s="6"/>
      <c r="B19" s="19" t="s">
        <v>7</v>
      </c>
      <c r="C19" s="70"/>
      <c r="D19" s="74">
        <v>12</v>
      </c>
      <c r="E19" s="74">
        <v>3</v>
      </c>
      <c r="F19" s="21"/>
      <c r="G19" s="77"/>
      <c r="H19" s="10"/>
      <c r="I19" s="16" t="s">
        <v>26</v>
      </c>
      <c r="J19" s="96">
        <v>-15026</v>
      </c>
      <c r="K19" s="94" t="e">
        <f>+#REF!</f>
        <v>#REF!</v>
      </c>
      <c r="L19" s="94">
        <v>-11002.04</v>
      </c>
      <c r="M19" s="18" t="e">
        <f t="shared" ref="M19:M30" si="0">K19+L19-J19</f>
        <v>#REF!</v>
      </c>
      <c r="N19" s="84" t="e">
        <f t="shared" ref="N19:N30" si="1">(+K19+L19)/($K$50+$L$50)</f>
        <v>#REF!</v>
      </c>
      <c r="O19" s="6"/>
    </row>
    <row r="20" spans="1:15" s="3" customFormat="1" ht="15" customHeight="1" x14ac:dyDescent="0.35">
      <c r="A20" s="6"/>
      <c r="B20" s="22" t="s">
        <v>97</v>
      </c>
      <c r="C20" s="73">
        <v>100</v>
      </c>
      <c r="D20" s="17">
        <f>+C20*$D$19</f>
        <v>1200</v>
      </c>
      <c r="E20" s="17">
        <f>+C20*$E$19</f>
        <v>300</v>
      </c>
      <c r="F20" s="23">
        <f t="shared" ref="F20:F97" si="2">E20-D20</f>
        <v>-900</v>
      </c>
      <c r="G20" s="78">
        <f>+E20/$E$24</f>
        <v>0.34482758620689657</v>
      </c>
      <c r="H20" s="61"/>
      <c r="I20" s="16" t="s">
        <v>115</v>
      </c>
      <c r="J20" s="96">
        <f>-2454.33-480</f>
        <v>-2934.33</v>
      </c>
      <c r="K20" s="94">
        <v>0</v>
      </c>
      <c r="L20" s="94">
        <v>-261.47000000000003</v>
      </c>
      <c r="M20" s="18">
        <f t="shared" si="0"/>
        <v>2672.8599999999997</v>
      </c>
      <c r="N20" s="84" t="e">
        <f t="shared" si="1"/>
        <v>#REF!</v>
      </c>
      <c r="O20" s="6"/>
    </row>
    <row r="21" spans="1:15" s="3" customFormat="1" ht="15" customHeight="1" x14ac:dyDescent="0.35">
      <c r="A21" s="6"/>
      <c r="B21" s="22" t="s">
        <v>41</v>
      </c>
      <c r="C21" s="73">
        <v>50</v>
      </c>
      <c r="D21" s="17">
        <f t="shared" ref="D21:D23" si="3">+C21*$D$19</f>
        <v>600</v>
      </c>
      <c r="E21" s="17">
        <f t="shared" ref="E21:E23" si="4">+C21*$E$19</f>
        <v>150</v>
      </c>
      <c r="F21" s="23">
        <f t="shared" si="2"/>
        <v>-450</v>
      </c>
      <c r="G21" s="78">
        <f t="shared" ref="G21:G23" si="5">+E21/$E$24</f>
        <v>0.17241379310344829</v>
      </c>
      <c r="H21" s="24"/>
      <c r="I21" s="16" t="s">
        <v>111</v>
      </c>
      <c r="J21" s="96">
        <v>-1100</v>
      </c>
      <c r="K21" s="94" t="e">
        <f>+#REF!</f>
        <v>#REF!</v>
      </c>
      <c r="L21" s="94">
        <v>0</v>
      </c>
      <c r="M21" s="18" t="e">
        <f t="shared" si="0"/>
        <v>#REF!</v>
      </c>
      <c r="N21" s="84" t="e">
        <f t="shared" si="1"/>
        <v>#REF!</v>
      </c>
      <c r="O21" s="6"/>
    </row>
    <row r="22" spans="1:15" s="3" customFormat="1" ht="15" customHeight="1" x14ac:dyDescent="0.35">
      <c r="A22" s="6"/>
      <c r="B22" s="22" t="s">
        <v>42</v>
      </c>
      <c r="C22" s="73">
        <v>100</v>
      </c>
      <c r="D22" s="17">
        <f t="shared" si="3"/>
        <v>1200</v>
      </c>
      <c r="E22" s="17">
        <f t="shared" si="4"/>
        <v>300</v>
      </c>
      <c r="F22" s="23">
        <f t="shared" si="2"/>
        <v>-900</v>
      </c>
      <c r="G22" s="78">
        <f t="shared" si="5"/>
        <v>0.34482758620689657</v>
      </c>
      <c r="H22" s="334"/>
      <c r="I22" s="16" t="s">
        <v>19</v>
      </c>
      <c r="J22" s="96">
        <v>-8268</v>
      </c>
      <c r="K22" s="94" t="e">
        <f>+#REF!</f>
        <v>#REF!</v>
      </c>
      <c r="L22" s="94">
        <v>-1800</v>
      </c>
      <c r="M22" s="18" t="e">
        <f t="shared" si="0"/>
        <v>#REF!</v>
      </c>
      <c r="N22" s="84" t="e">
        <f t="shared" si="1"/>
        <v>#REF!</v>
      </c>
      <c r="O22" s="6"/>
    </row>
    <row r="23" spans="1:15" s="3" customFormat="1" ht="15" customHeight="1" x14ac:dyDescent="0.35">
      <c r="A23" s="6"/>
      <c r="B23" s="22" t="s">
        <v>43</v>
      </c>
      <c r="C23" s="73">
        <v>40</v>
      </c>
      <c r="D23" s="17">
        <f t="shared" si="3"/>
        <v>480</v>
      </c>
      <c r="E23" s="17">
        <f t="shared" si="4"/>
        <v>120</v>
      </c>
      <c r="F23" s="23">
        <f t="shared" si="2"/>
        <v>-360</v>
      </c>
      <c r="G23" s="78">
        <f t="shared" si="5"/>
        <v>0.13793103448275862</v>
      </c>
      <c r="H23" s="335"/>
      <c r="I23" s="16" t="s">
        <v>20</v>
      </c>
      <c r="J23" s="96">
        <v>-4185</v>
      </c>
      <c r="K23" s="94" t="e">
        <f>+#REF!</f>
        <v>#REF!</v>
      </c>
      <c r="L23" s="94">
        <v>-711.93</v>
      </c>
      <c r="M23" s="18" t="e">
        <f t="shared" si="0"/>
        <v>#REF!</v>
      </c>
      <c r="N23" s="84" t="e">
        <f t="shared" si="1"/>
        <v>#REF!</v>
      </c>
      <c r="O23" s="6"/>
    </row>
    <row r="24" spans="1:15" s="3" customFormat="1" ht="15" customHeight="1" x14ac:dyDescent="0.35">
      <c r="A24" s="6"/>
      <c r="B24" s="22"/>
      <c r="C24" s="20"/>
      <c r="D24" s="25">
        <v>3770</v>
      </c>
      <c r="E24" s="25">
        <f>SUM(E20:E23)</f>
        <v>870</v>
      </c>
      <c r="F24" s="23">
        <f t="shared" si="2"/>
        <v>-2900</v>
      </c>
      <c r="G24" s="79" t="e">
        <f>+E24/$E$97</f>
        <v>#REF!</v>
      </c>
      <c r="H24" s="335"/>
      <c r="I24" s="16" t="s">
        <v>21</v>
      </c>
      <c r="J24" s="96">
        <v>-390.76</v>
      </c>
      <c r="K24" s="94" t="e">
        <f>+#REF!</f>
        <v>#REF!</v>
      </c>
      <c r="L24" s="94">
        <v>-7.1099999999999994</v>
      </c>
      <c r="M24" s="18" t="e">
        <f t="shared" si="0"/>
        <v>#REF!</v>
      </c>
      <c r="N24" s="84" t="e">
        <f t="shared" si="1"/>
        <v>#REF!</v>
      </c>
      <c r="O24" s="6"/>
    </row>
    <row r="25" spans="1:15" s="3" customFormat="1" ht="15" customHeight="1" x14ac:dyDescent="0.35">
      <c r="A25" s="6"/>
      <c r="B25" s="19" t="s">
        <v>8</v>
      </c>
      <c r="C25" s="70"/>
      <c r="D25" s="26"/>
      <c r="E25" s="26"/>
      <c r="F25" s="23"/>
      <c r="G25" s="77"/>
      <c r="H25" s="335"/>
      <c r="I25" s="16" t="s">
        <v>27</v>
      </c>
      <c r="J25" s="96">
        <v>-11600</v>
      </c>
      <c r="K25" s="94" t="e">
        <f>+#REF!</f>
        <v>#REF!</v>
      </c>
      <c r="L25" s="94">
        <v>0</v>
      </c>
      <c r="M25" s="18" t="e">
        <f t="shared" si="0"/>
        <v>#REF!</v>
      </c>
      <c r="N25" s="84" t="e">
        <f t="shared" si="1"/>
        <v>#REF!</v>
      </c>
      <c r="O25" s="6"/>
    </row>
    <row r="26" spans="1:15" s="3" customFormat="1" ht="15" customHeight="1" x14ac:dyDescent="0.35">
      <c r="A26" s="6"/>
      <c r="B26" s="22" t="s">
        <v>44</v>
      </c>
      <c r="C26" s="73">
        <v>150</v>
      </c>
      <c r="D26" s="17">
        <f t="shared" ref="D26:D29" si="6">+C26*$D$19</f>
        <v>1800</v>
      </c>
      <c r="E26" s="17">
        <f>+C26*$E$19</f>
        <v>450</v>
      </c>
      <c r="F26" s="23">
        <f t="shared" ref="F26:F30" si="7">E26-D26</f>
        <v>-1350</v>
      </c>
      <c r="G26" s="78">
        <f>+E26/$E$30</f>
        <v>0.2</v>
      </c>
      <c r="H26" s="335"/>
      <c r="I26" s="16" t="s">
        <v>39</v>
      </c>
      <c r="J26" s="96">
        <f>(-D88+D86)*0.3333333</f>
        <v>-40148.3293185</v>
      </c>
      <c r="K26" s="94" t="e">
        <f>+#REF!</f>
        <v>#REF!</v>
      </c>
      <c r="L26" s="94">
        <v>-8104.5</v>
      </c>
      <c r="M26" s="18" t="e">
        <f t="shared" si="0"/>
        <v>#REF!</v>
      </c>
      <c r="N26" s="84" t="e">
        <f t="shared" si="1"/>
        <v>#REF!</v>
      </c>
      <c r="O26" s="6"/>
    </row>
    <row r="27" spans="1:15" s="3" customFormat="1" ht="15" customHeight="1" x14ac:dyDescent="0.35">
      <c r="A27" s="6"/>
      <c r="B27" s="22" t="s">
        <v>45</v>
      </c>
      <c r="C27" s="73">
        <v>200</v>
      </c>
      <c r="D27" s="17">
        <f t="shared" si="6"/>
        <v>2400</v>
      </c>
      <c r="E27" s="17">
        <f t="shared" ref="E27:E29" si="8">+C27*$E$19</f>
        <v>600</v>
      </c>
      <c r="F27" s="23">
        <f t="shared" si="7"/>
        <v>-1800</v>
      </c>
      <c r="G27" s="78">
        <f t="shared" ref="G27:G29" si="9">+E27/$E$30</f>
        <v>0.26666666666666666</v>
      </c>
      <c r="H27" s="335"/>
      <c r="I27" s="16" t="s">
        <v>24</v>
      </c>
      <c r="J27" s="96">
        <v>-9754.5499999999993</v>
      </c>
      <c r="K27" s="94" t="e">
        <f>+#REF!</f>
        <v>#REF!</v>
      </c>
      <c r="L27" s="94">
        <v>0</v>
      </c>
      <c r="M27" s="18" t="e">
        <f t="shared" si="0"/>
        <v>#REF!</v>
      </c>
      <c r="N27" s="84" t="e">
        <f t="shared" si="1"/>
        <v>#REF!</v>
      </c>
      <c r="O27" s="6"/>
    </row>
    <row r="28" spans="1:15" s="3" customFormat="1" ht="15" customHeight="1" x14ac:dyDescent="0.35">
      <c r="A28" s="6"/>
      <c r="B28" s="22" t="s">
        <v>46</v>
      </c>
      <c r="C28" s="73">
        <v>100</v>
      </c>
      <c r="D28" s="17">
        <f t="shared" si="6"/>
        <v>1200</v>
      </c>
      <c r="E28" s="17">
        <f t="shared" si="8"/>
        <v>300</v>
      </c>
      <c r="F28" s="23">
        <f t="shared" si="7"/>
        <v>-900</v>
      </c>
      <c r="G28" s="78">
        <f t="shared" si="9"/>
        <v>0.13333333333333333</v>
      </c>
      <c r="H28" s="335"/>
      <c r="I28" s="16" t="s">
        <v>23</v>
      </c>
      <c r="J28" s="96">
        <f>-5679-4699</f>
        <v>-10378</v>
      </c>
      <c r="K28" s="94" t="e">
        <f>+#REF!</f>
        <v>#REF!</v>
      </c>
      <c r="L28" s="94">
        <v>0</v>
      </c>
      <c r="M28" s="18" t="e">
        <f t="shared" si="0"/>
        <v>#REF!</v>
      </c>
      <c r="N28" s="84" t="e">
        <f t="shared" si="1"/>
        <v>#REF!</v>
      </c>
      <c r="O28" s="6"/>
    </row>
    <row r="29" spans="1:15" s="3" customFormat="1" ht="15" customHeight="1" x14ac:dyDescent="0.35">
      <c r="A29" s="6"/>
      <c r="B29" s="22" t="s">
        <v>47</v>
      </c>
      <c r="C29" s="73">
        <v>300</v>
      </c>
      <c r="D29" s="17">
        <f t="shared" si="6"/>
        <v>3600</v>
      </c>
      <c r="E29" s="17">
        <f t="shared" si="8"/>
        <v>900</v>
      </c>
      <c r="F29" s="23">
        <f t="shared" si="7"/>
        <v>-2700</v>
      </c>
      <c r="G29" s="78">
        <f t="shared" si="9"/>
        <v>0.4</v>
      </c>
      <c r="H29" s="335"/>
      <c r="I29" s="16" t="s">
        <v>88</v>
      </c>
      <c r="J29" s="96">
        <v>-4400</v>
      </c>
      <c r="K29" s="94" t="e">
        <f>+#REF!</f>
        <v>#REF!</v>
      </c>
      <c r="L29" s="94">
        <v>-7070.82</v>
      </c>
      <c r="M29" s="18" t="e">
        <f t="shared" si="0"/>
        <v>#REF!</v>
      </c>
      <c r="N29" s="84" t="e">
        <f t="shared" si="1"/>
        <v>#REF!</v>
      </c>
      <c r="O29" s="6"/>
    </row>
    <row r="30" spans="1:15" s="3" customFormat="1" ht="15" customHeight="1" x14ac:dyDescent="0.35">
      <c r="A30" s="6"/>
      <c r="B30" s="22"/>
      <c r="C30" s="20"/>
      <c r="D30" s="25">
        <v>9750</v>
      </c>
      <c r="E30" s="25">
        <f>SUM(E26:E29)</f>
        <v>2250</v>
      </c>
      <c r="F30" s="23">
        <f t="shared" si="7"/>
        <v>-7500</v>
      </c>
      <c r="G30" s="79" t="e">
        <f>+E30/$E$97</f>
        <v>#REF!</v>
      </c>
      <c r="H30" s="335"/>
      <c r="I30" s="16"/>
      <c r="J30" s="29">
        <f>SUM(J18:J29)</f>
        <v>-109376.96931850001</v>
      </c>
      <c r="K30" s="29" t="e">
        <f>SUM(K18:K29)</f>
        <v>#REF!</v>
      </c>
      <c r="L30" s="29">
        <f>SUM(L18:L29)</f>
        <v>-28957.870000000003</v>
      </c>
      <c r="M30" s="18" t="e">
        <f t="shared" si="0"/>
        <v>#REF!</v>
      </c>
      <c r="N30" s="95" t="e">
        <f t="shared" si="1"/>
        <v>#REF!</v>
      </c>
      <c r="O30" s="6"/>
    </row>
    <row r="31" spans="1:15" s="3" customFormat="1" ht="15" customHeight="1" x14ac:dyDescent="0.35">
      <c r="A31" s="6"/>
      <c r="B31" s="19" t="s">
        <v>9</v>
      </c>
      <c r="C31" s="70"/>
      <c r="D31" s="26"/>
      <c r="E31" s="26"/>
      <c r="F31" s="23"/>
      <c r="G31" s="77"/>
      <c r="H31" s="8"/>
      <c r="I31" s="39" t="s">
        <v>90</v>
      </c>
      <c r="J31" s="30"/>
      <c r="K31" s="30"/>
      <c r="L31" s="30"/>
      <c r="M31" s="18"/>
      <c r="N31" s="83"/>
      <c r="O31" s="6"/>
    </row>
    <row r="32" spans="1:15" s="3" customFormat="1" ht="15" customHeight="1" x14ac:dyDescent="0.35">
      <c r="A32" s="6"/>
      <c r="B32" s="22" t="s">
        <v>48</v>
      </c>
      <c r="C32" s="73">
        <v>150</v>
      </c>
      <c r="D32" s="17">
        <f t="shared" ref="D32:D35" si="10">+C32*$D$19</f>
        <v>1800</v>
      </c>
      <c r="E32" s="17">
        <f t="shared" ref="E32:E35" si="11">+C32*$E$19</f>
        <v>450</v>
      </c>
      <c r="F32" s="23">
        <f t="shared" ref="F32:F36" si="12">E32-D32</f>
        <v>-1350</v>
      </c>
      <c r="G32" s="78">
        <f>+E32/$E$36</f>
        <v>0.44117647058823528</v>
      </c>
      <c r="H32" s="8"/>
      <c r="I32" s="13" t="s">
        <v>28</v>
      </c>
      <c r="J32" s="30"/>
      <c r="K32" s="30"/>
      <c r="L32" s="30"/>
      <c r="M32" s="18"/>
      <c r="O32" s="6"/>
    </row>
    <row r="33" spans="1:15" s="3" customFormat="1" ht="15" customHeight="1" x14ac:dyDescent="0.35">
      <c r="A33" s="6"/>
      <c r="B33" s="22" t="s">
        <v>49</v>
      </c>
      <c r="C33" s="73">
        <v>50</v>
      </c>
      <c r="D33" s="17">
        <f t="shared" si="10"/>
        <v>600</v>
      </c>
      <c r="E33" s="17">
        <f t="shared" si="11"/>
        <v>150</v>
      </c>
      <c r="F33" s="23">
        <f t="shared" si="12"/>
        <v>-450</v>
      </c>
      <c r="G33" s="78">
        <f t="shared" ref="G33:G35" si="13">+E33/$E$36</f>
        <v>0.14705882352941177</v>
      </c>
      <c r="H33" s="28"/>
      <c r="I33" s="16" t="s">
        <v>29</v>
      </c>
      <c r="J33" s="97">
        <v>0</v>
      </c>
      <c r="K33" s="17" t="e">
        <f>+#REF!</f>
        <v>#REF!</v>
      </c>
      <c r="L33" s="17">
        <v>-10266.23</v>
      </c>
      <c r="M33" s="18" t="e">
        <f t="shared" ref="M33:M48" si="14">K33+L33-J33</f>
        <v>#REF!</v>
      </c>
      <c r="N33" s="78" t="e">
        <f t="shared" ref="N33:N48" si="15">(+K33+L33)/($K$50+$L$50)</f>
        <v>#REF!</v>
      </c>
      <c r="O33" s="6"/>
    </row>
    <row r="34" spans="1:15" s="3" customFormat="1" ht="15" customHeight="1" x14ac:dyDescent="0.35">
      <c r="A34" s="6"/>
      <c r="B34" s="22" t="s">
        <v>50</v>
      </c>
      <c r="C34" s="73">
        <v>50</v>
      </c>
      <c r="D34" s="17">
        <f t="shared" si="10"/>
        <v>600</v>
      </c>
      <c r="E34" s="17">
        <f t="shared" si="11"/>
        <v>150</v>
      </c>
      <c r="F34" s="23">
        <f t="shared" si="12"/>
        <v>-450</v>
      </c>
      <c r="G34" s="78">
        <f t="shared" si="13"/>
        <v>0.14705882352941177</v>
      </c>
      <c r="H34" s="334"/>
      <c r="I34" s="16" t="s">
        <v>31</v>
      </c>
      <c r="J34" s="97">
        <v>0</v>
      </c>
      <c r="K34" s="17" t="e">
        <f>+#REF!</f>
        <v>#REF!</v>
      </c>
      <c r="L34" s="17">
        <v>0</v>
      </c>
      <c r="M34" s="18" t="e">
        <f t="shared" si="14"/>
        <v>#REF!</v>
      </c>
      <c r="N34" s="78" t="e">
        <f t="shared" si="15"/>
        <v>#REF!</v>
      </c>
      <c r="O34" s="6"/>
    </row>
    <row r="35" spans="1:15" s="3" customFormat="1" ht="15" customHeight="1" x14ac:dyDescent="0.35">
      <c r="A35" s="6"/>
      <c r="B35" s="22" t="s">
        <v>51</v>
      </c>
      <c r="C35" s="73">
        <v>90</v>
      </c>
      <c r="D35" s="17">
        <f t="shared" si="10"/>
        <v>1080</v>
      </c>
      <c r="E35" s="17">
        <f t="shared" si="11"/>
        <v>270</v>
      </c>
      <c r="F35" s="23">
        <f t="shared" si="12"/>
        <v>-810</v>
      </c>
      <c r="G35" s="78">
        <f t="shared" si="13"/>
        <v>0.26470588235294118</v>
      </c>
      <c r="H35" s="335"/>
      <c r="I35" s="16" t="s">
        <v>37</v>
      </c>
      <c r="J35" s="97">
        <v>0</v>
      </c>
      <c r="K35" s="17" t="e">
        <f>+#REF!</f>
        <v>#REF!</v>
      </c>
      <c r="L35" s="17">
        <v>0</v>
      </c>
      <c r="M35" s="18" t="e">
        <f t="shared" si="14"/>
        <v>#REF!</v>
      </c>
      <c r="N35" s="78" t="e">
        <f t="shared" si="15"/>
        <v>#REF!</v>
      </c>
      <c r="O35" s="6"/>
    </row>
    <row r="36" spans="1:15" s="3" customFormat="1" ht="15" customHeight="1" x14ac:dyDescent="0.35">
      <c r="A36" s="6"/>
      <c r="B36" s="22"/>
      <c r="C36" s="73"/>
      <c r="D36" s="25">
        <v>5070</v>
      </c>
      <c r="E36" s="25">
        <f>SUM(E32:E35)</f>
        <v>1020</v>
      </c>
      <c r="F36" s="23">
        <f t="shared" si="12"/>
        <v>-4050</v>
      </c>
      <c r="G36" s="79" t="e">
        <f>+E36/$E$97</f>
        <v>#REF!</v>
      </c>
      <c r="H36" s="335"/>
      <c r="I36" s="16" t="s">
        <v>30</v>
      </c>
      <c r="J36" s="97">
        <v>-12000</v>
      </c>
      <c r="K36" s="17" t="e">
        <f>+#REF!</f>
        <v>#REF!</v>
      </c>
      <c r="L36" s="17">
        <v>0</v>
      </c>
      <c r="M36" s="18" t="e">
        <f t="shared" si="14"/>
        <v>#REF!</v>
      </c>
      <c r="N36" s="78" t="e">
        <f t="shared" si="15"/>
        <v>#REF!</v>
      </c>
      <c r="O36" s="6"/>
    </row>
    <row r="37" spans="1:15" s="3" customFormat="1" ht="15" customHeight="1" x14ac:dyDescent="0.35">
      <c r="A37" s="6"/>
      <c r="B37" s="19" t="s">
        <v>10</v>
      </c>
      <c r="C37" s="73"/>
      <c r="D37" s="26"/>
      <c r="E37" s="26"/>
      <c r="F37" s="23"/>
      <c r="G37" s="77"/>
      <c r="H37" s="335"/>
      <c r="I37" s="16" t="s">
        <v>114</v>
      </c>
      <c r="J37" s="97">
        <v>-2362</v>
      </c>
      <c r="K37" s="17" t="e">
        <f>+#REF!</f>
        <v>#REF!</v>
      </c>
      <c r="L37" s="17">
        <v>-3607.5</v>
      </c>
      <c r="M37" s="18" t="e">
        <f t="shared" si="14"/>
        <v>#REF!</v>
      </c>
      <c r="N37" s="78" t="e">
        <f t="shared" si="15"/>
        <v>#REF!</v>
      </c>
      <c r="O37" s="6"/>
    </row>
    <row r="38" spans="1:15" s="3" customFormat="1" ht="15" customHeight="1" x14ac:dyDescent="0.35">
      <c r="A38" s="6"/>
      <c r="B38" s="22" t="s">
        <v>52</v>
      </c>
      <c r="C38" s="73">
        <v>250</v>
      </c>
      <c r="D38" s="17">
        <f t="shared" ref="D38:D41" si="16">+C38*$D$19</f>
        <v>3000</v>
      </c>
      <c r="E38" s="17">
        <f>+C38*$E$19</f>
        <v>750</v>
      </c>
      <c r="F38" s="23">
        <f t="shared" ref="F38:F42" si="17">E38-D38</f>
        <v>-2250</v>
      </c>
      <c r="G38" s="78">
        <f>+E38/$E$42</f>
        <v>0.41666666666666669</v>
      </c>
      <c r="H38" s="335"/>
      <c r="I38" s="16"/>
      <c r="J38" s="29">
        <f>SUM(J33:J37)</f>
        <v>-14362</v>
      </c>
      <c r="K38" s="29" t="e">
        <f>SUM(K33:K37)</f>
        <v>#REF!</v>
      </c>
      <c r="L38" s="29">
        <f>SUM(L33:L37)</f>
        <v>-13873.73</v>
      </c>
      <c r="M38" s="18" t="e">
        <f t="shared" si="14"/>
        <v>#REF!</v>
      </c>
      <c r="N38" s="84" t="e">
        <f t="shared" si="15"/>
        <v>#REF!</v>
      </c>
      <c r="O38" s="6"/>
    </row>
    <row r="39" spans="1:15" s="3" customFormat="1" ht="15" customHeight="1" x14ac:dyDescent="0.35">
      <c r="A39" s="6"/>
      <c r="B39" s="22" t="s">
        <v>53</v>
      </c>
      <c r="C39" s="73">
        <v>180</v>
      </c>
      <c r="D39" s="17">
        <f t="shared" si="16"/>
        <v>2160</v>
      </c>
      <c r="E39" s="17">
        <f t="shared" ref="E39:E41" si="18">+C39*$E$19</f>
        <v>540</v>
      </c>
      <c r="F39" s="23">
        <f t="shared" si="17"/>
        <v>-1620</v>
      </c>
      <c r="G39" s="78">
        <f t="shared" ref="G39:G41" si="19">+E39/$E$42</f>
        <v>0.3</v>
      </c>
      <c r="H39" s="335"/>
      <c r="I39" s="13" t="s">
        <v>32</v>
      </c>
      <c r="J39" s="27"/>
      <c r="K39" s="27"/>
      <c r="L39" s="27"/>
      <c r="M39" s="18"/>
      <c r="N39" s="83"/>
      <c r="O39" s="6"/>
    </row>
    <row r="40" spans="1:15" s="3" customFormat="1" ht="15" customHeight="1" x14ac:dyDescent="0.35">
      <c r="A40" s="6"/>
      <c r="B40" s="22" t="s">
        <v>54</v>
      </c>
      <c r="C40" s="73">
        <v>100</v>
      </c>
      <c r="D40" s="17">
        <f t="shared" si="16"/>
        <v>1200</v>
      </c>
      <c r="E40" s="17">
        <f t="shared" si="18"/>
        <v>300</v>
      </c>
      <c r="F40" s="23">
        <f t="shared" si="17"/>
        <v>-900</v>
      </c>
      <c r="G40" s="78">
        <f t="shared" si="19"/>
        <v>0.16666666666666666</v>
      </c>
      <c r="H40" s="335"/>
      <c r="I40" s="16" t="s">
        <v>33</v>
      </c>
      <c r="J40" s="97">
        <v>-2666.6666666666702</v>
      </c>
      <c r="K40" s="17" t="e">
        <f>+#REF!</f>
        <v>#REF!</v>
      </c>
      <c r="L40" s="17">
        <v>0</v>
      </c>
      <c r="M40" s="18" t="e">
        <f t="shared" si="14"/>
        <v>#REF!</v>
      </c>
      <c r="N40" s="78" t="e">
        <f t="shared" si="15"/>
        <v>#REF!</v>
      </c>
      <c r="O40" s="6"/>
    </row>
    <row r="41" spans="1:15" s="3" customFormat="1" ht="15" customHeight="1" x14ac:dyDescent="0.35">
      <c r="A41" s="6"/>
      <c r="B41" s="22" t="s">
        <v>55</v>
      </c>
      <c r="C41" s="73">
        <v>70</v>
      </c>
      <c r="D41" s="17">
        <f t="shared" si="16"/>
        <v>840</v>
      </c>
      <c r="E41" s="17">
        <f t="shared" si="18"/>
        <v>210</v>
      </c>
      <c r="F41" s="23">
        <f t="shared" si="17"/>
        <v>-630</v>
      </c>
      <c r="G41" s="78">
        <f t="shared" si="19"/>
        <v>0.11666666666666667</v>
      </c>
      <c r="H41" s="335"/>
      <c r="I41" s="16" t="s">
        <v>34</v>
      </c>
      <c r="J41" s="97">
        <v>-2666.6666666666702</v>
      </c>
      <c r="K41" s="17" t="e">
        <f>+#REF!</f>
        <v>#REF!</v>
      </c>
      <c r="L41" s="17">
        <v>-2825</v>
      </c>
      <c r="M41" s="18" t="e">
        <f t="shared" si="14"/>
        <v>#REF!</v>
      </c>
      <c r="N41" s="78" t="e">
        <f t="shared" si="15"/>
        <v>#REF!</v>
      </c>
      <c r="O41" s="6"/>
    </row>
    <row r="42" spans="1:15" s="3" customFormat="1" ht="15" customHeight="1" x14ac:dyDescent="0.35">
      <c r="A42" s="6"/>
      <c r="B42" s="22"/>
      <c r="C42" s="73"/>
      <c r="D42" s="25">
        <v>7800</v>
      </c>
      <c r="E42" s="25">
        <f>SUM(E38:E41)</f>
        <v>1800</v>
      </c>
      <c r="F42" s="23">
        <f t="shared" si="17"/>
        <v>-6000</v>
      </c>
      <c r="G42" s="79" t="e">
        <f>+E42/$E$97</f>
        <v>#REF!</v>
      </c>
      <c r="H42" s="335"/>
      <c r="I42" s="16" t="s">
        <v>35</v>
      </c>
      <c r="J42" s="97">
        <v>-2666.6666666666702</v>
      </c>
      <c r="K42" s="17" t="e">
        <f>+#REF!</f>
        <v>#REF!</v>
      </c>
      <c r="L42" s="17">
        <v>0</v>
      </c>
      <c r="M42" s="18" t="e">
        <f t="shared" si="14"/>
        <v>#REF!</v>
      </c>
      <c r="N42" s="78" t="e">
        <f t="shared" si="15"/>
        <v>#REF!</v>
      </c>
      <c r="O42" s="6"/>
    </row>
    <row r="43" spans="1:15" s="3" customFormat="1" ht="15" customHeight="1" x14ac:dyDescent="0.35">
      <c r="A43" s="6"/>
      <c r="B43" s="19" t="s">
        <v>11</v>
      </c>
      <c r="C43" s="73"/>
      <c r="D43" s="26"/>
      <c r="E43" s="26"/>
      <c r="F43" s="23"/>
      <c r="G43" s="77"/>
      <c r="H43" s="335"/>
      <c r="I43" s="16"/>
      <c r="J43" s="29">
        <f>SUM(J40:J42)</f>
        <v>-8000.0000000000109</v>
      </c>
      <c r="K43" s="29" t="e">
        <f>SUM(K40:K42)</f>
        <v>#REF!</v>
      </c>
      <c r="L43" s="29">
        <f>SUM(L40:L42)</f>
        <v>-2825</v>
      </c>
      <c r="M43" s="18" t="e">
        <f t="shared" si="14"/>
        <v>#REF!</v>
      </c>
      <c r="N43" s="84" t="e">
        <f t="shared" si="15"/>
        <v>#REF!</v>
      </c>
      <c r="O43" s="6"/>
    </row>
    <row r="44" spans="1:15" s="3" customFormat="1" ht="15" customHeight="1" x14ac:dyDescent="0.35">
      <c r="A44" s="6"/>
      <c r="B44" s="22" t="s">
        <v>96</v>
      </c>
      <c r="C44" s="73">
        <v>150</v>
      </c>
      <c r="D44" s="17">
        <f t="shared" ref="D44:D62" si="20">+C44*$D$19</f>
        <v>1800</v>
      </c>
      <c r="E44" s="17">
        <f t="shared" ref="E44:E61" si="21">+C44*$E$19</f>
        <v>450</v>
      </c>
      <c r="F44" s="23">
        <f t="shared" ref="F44:F47" si="22">E44-D44</f>
        <v>-1350</v>
      </c>
      <c r="G44" s="78">
        <f>+E44/$E$63</f>
        <v>3.0643513789581207E-2</v>
      </c>
      <c r="H44" s="335"/>
      <c r="I44" s="13" t="s">
        <v>36</v>
      </c>
      <c r="J44" s="27"/>
      <c r="K44" s="27"/>
      <c r="L44" s="27"/>
      <c r="M44" s="18"/>
      <c r="N44" s="83"/>
      <c r="O44" s="6"/>
    </row>
    <row r="45" spans="1:15" s="3" customFormat="1" ht="15" customHeight="1" x14ac:dyDescent="0.35">
      <c r="A45" s="6"/>
      <c r="B45" s="22" t="s">
        <v>56</v>
      </c>
      <c r="C45" s="73">
        <v>200</v>
      </c>
      <c r="D45" s="17">
        <f t="shared" si="20"/>
        <v>2400</v>
      </c>
      <c r="E45" s="17">
        <f t="shared" si="21"/>
        <v>600</v>
      </c>
      <c r="F45" s="23">
        <f t="shared" si="22"/>
        <v>-1800</v>
      </c>
      <c r="G45" s="78">
        <f t="shared" ref="G45:G62" si="23">+E45/$E$63</f>
        <v>4.0858018386108273E-2</v>
      </c>
      <c r="H45" s="335"/>
      <c r="I45" s="16" t="s">
        <v>38</v>
      </c>
      <c r="J45" s="97">
        <v>-24520</v>
      </c>
      <c r="K45" s="17" t="e">
        <f>+#REF!</f>
        <v>#REF!</v>
      </c>
      <c r="L45" s="17">
        <v>-10000</v>
      </c>
      <c r="M45" s="18" t="e">
        <f t="shared" si="14"/>
        <v>#REF!</v>
      </c>
      <c r="N45" s="78" t="e">
        <f t="shared" si="15"/>
        <v>#REF!</v>
      </c>
      <c r="O45" s="6"/>
    </row>
    <row r="46" spans="1:15" s="3" customFormat="1" ht="15" customHeight="1" x14ac:dyDescent="0.35">
      <c r="A46" s="6"/>
      <c r="B46" s="22" t="s">
        <v>57</v>
      </c>
      <c r="C46" s="73">
        <v>250</v>
      </c>
      <c r="D46" s="17">
        <f t="shared" si="20"/>
        <v>3000</v>
      </c>
      <c r="E46" s="17">
        <f t="shared" si="21"/>
        <v>750</v>
      </c>
      <c r="F46" s="23">
        <f t="shared" si="22"/>
        <v>-2250</v>
      </c>
      <c r="G46" s="78">
        <f t="shared" si="23"/>
        <v>5.1072522982635343E-2</v>
      </c>
      <c r="H46" s="335"/>
      <c r="I46" s="16" t="s">
        <v>40</v>
      </c>
      <c r="J46" s="97">
        <v>0</v>
      </c>
      <c r="K46" s="17" t="e">
        <f>+#REF!</f>
        <v>#REF!</v>
      </c>
      <c r="L46" s="17">
        <v>0</v>
      </c>
      <c r="M46" s="18" t="e">
        <f t="shared" si="14"/>
        <v>#REF!</v>
      </c>
      <c r="N46" s="78" t="e">
        <f t="shared" si="15"/>
        <v>#REF!</v>
      </c>
      <c r="O46" s="6"/>
    </row>
    <row r="47" spans="1:15" s="3" customFormat="1" ht="15" customHeight="1" x14ac:dyDescent="0.35">
      <c r="A47" s="6"/>
      <c r="B47" s="22" t="s">
        <v>58</v>
      </c>
      <c r="C47" s="73">
        <v>150</v>
      </c>
      <c r="D47" s="17">
        <f t="shared" si="20"/>
        <v>1800</v>
      </c>
      <c r="E47" s="17">
        <f t="shared" si="21"/>
        <v>450</v>
      </c>
      <c r="F47" s="23">
        <f t="shared" si="22"/>
        <v>-1350</v>
      </c>
      <c r="G47" s="78">
        <f t="shared" si="23"/>
        <v>3.0643513789581207E-2</v>
      </c>
      <c r="H47" s="335"/>
      <c r="I47" s="16" t="s">
        <v>89</v>
      </c>
      <c r="J47" s="97">
        <v>0</v>
      </c>
      <c r="K47" s="17" t="e">
        <f>+#REF!</f>
        <v>#REF!</v>
      </c>
      <c r="L47" s="17">
        <v>0</v>
      </c>
      <c r="M47" s="18" t="e">
        <f t="shared" si="14"/>
        <v>#REF!</v>
      </c>
      <c r="N47" s="78" t="e">
        <f t="shared" si="15"/>
        <v>#REF!</v>
      </c>
      <c r="O47" s="6"/>
    </row>
    <row r="48" spans="1:15" s="3" customFormat="1" ht="15" customHeight="1" x14ac:dyDescent="0.35">
      <c r="A48" s="6"/>
      <c r="B48" s="22" t="s">
        <v>59</v>
      </c>
      <c r="C48" s="73">
        <v>100</v>
      </c>
      <c r="D48" s="17">
        <f t="shared" si="20"/>
        <v>1200</v>
      </c>
      <c r="E48" s="17">
        <f t="shared" si="21"/>
        <v>300</v>
      </c>
      <c r="F48" s="23">
        <f t="shared" ref="F48:F55" si="24">E48-D48</f>
        <v>-900</v>
      </c>
      <c r="G48" s="78">
        <f t="shared" si="23"/>
        <v>2.0429009193054137E-2</v>
      </c>
      <c r="H48" s="31"/>
      <c r="I48" s="16"/>
      <c r="J48" s="29">
        <f>SUM(J45:J47)</f>
        <v>-24520</v>
      </c>
      <c r="K48" s="29" t="e">
        <f>SUM(K45:K47)</f>
        <v>#REF!</v>
      </c>
      <c r="L48" s="29">
        <f>SUM(L45:L47)</f>
        <v>-10000</v>
      </c>
      <c r="M48" s="18" t="e">
        <f t="shared" si="14"/>
        <v>#REF!</v>
      </c>
      <c r="N48" s="84" t="e">
        <f t="shared" si="15"/>
        <v>#REF!</v>
      </c>
      <c r="O48" s="6"/>
    </row>
    <row r="49" spans="1:15" s="3" customFormat="1" ht="15" customHeight="1" x14ac:dyDescent="0.35">
      <c r="A49" s="6"/>
      <c r="B49" s="22" t="s">
        <v>60</v>
      </c>
      <c r="C49" s="73">
        <v>120</v>
      </c>
      <c r="D49" s="17">
        <f t="shared" si="20"/>
        <v>1440</v>
      </c>
      <c r="E49" s="17">
        <f t="shared" si="21"/>
        <v>360</v>
      </c>
      <c r="F49" s="23">
        <f t="shared" si="24"/>
        <v>-1080</v>
      </c>
      <c r="G49" s="78">
        <f t="shared" si="23"/>
        <v>2.4514811031664963E-2</v>
      </c>
      <c r="H49" s="334"/>
      <c r="I49" s="13"/>
      <c r="J49" s="27"/>
      <c r="K49" s="27"/>
      <c r="L49" s="27"/>
      <c r="M49" s="18"/>
      <c r="N49" s="67"/>
      <c r="O49" s="6"/>
    </row>
    <row r="50" spans="1:15" s="3" customFormat="1" ht="15" customHeight="1" x14ac:dyDescent="0.35">
      <c r="A50" s="6"/>
      <c r="B50" s="22" t="s">
        <v>61</v>
      </c>
      <c r="C50" s="73">
        <v>260</v>
      </c>
      <c r="D50" s="17">
        <f t="shared" si="20"/>
        <v>3120</v>
      </c>
      <c r="E50" s="17">
        <f t="shared" si="21"/>
        <v>780</v>
      </c>
      <c r="F50" s="23">
        <f t="shared" si="24"/>
        <v>-2340</v>
      </c>
      <c r="G50" s="78">
        <f t="shared" si="23"/>
        <v>5.3115423901940753E-2</v>
      </c>
      <c r="H50" s="335"/>
      <c r="I50" s="59" t="s">
        <v>107</v>
      </c>
      <c r="J50" s="32">
        <f>J48+J43+J38+J30</f>
        <v>-156258.96931850002</v>
      </c>
      <c r="K50" s="32" t="e">
        <f>K48+K43+K38+K30</f>
        <v>#REF!</v>
      </c>
      <c r="L50" s="32">
        <f>L48+L43+L38+L30</f>
        <v>-55656.600000000006</v>
      </c>
      <c r="M50" s="33" t="e">
        <f>K50+L50-J50</f>
        <v>#REF!</v>
      </c>
      <c r="N50" s="67"/>
      <c r="O50" s="6"/>
    </row>
    <row r="51" spans="1:15" s="3" customFormat="1" ht="15" customHeight="1" x14ac:dyDescent="0.35">
      <c r="A51" s="6"/>
      <c r="B51" s="22" t="s">
        <v>62</v>
      </c>
      <c r="C51" s="73">
        <v>1000</v>
      </c>
      <c r="D51" s="17">
        <f t="shared" si="20"/>
        <v>12000</v>
      </c>
      <c r="E51" s="17">
        <f t="shared" si="21"/>
        <v>3000</v>
      </c>
      <c r="F51" s="23">
        <f t="shared" si="24"/>
        <v>-9000</v>
      </c>
      <c r="G51" s="78">
        <f t="shared" si="23"/>
        <v>0.20429009193054137</v>
      </c>
      <c r="H51" s="335"/>
      <c r="I51" s="37"/>
      <c r="J51" s="37"/>
      <c r="K51" s="37"/>
      <c r="L51" s="37"/>
      <c r="M51" s="37"/>
      <c r="N51" s="6"/>
    </row>
    <row r="52" spans="1:15" s="3" customFormat="1" ht="15" customHeight="1" x14ac:dyDescent="0.35">
      <c r="A52" s="6"/>
      <c r="B52" s="22" t="s">
        <v>63</v>
      </c>
      <c r="C52" s="73">
        <v>175</v>
      </c>
      <c r="D52" s="17">
        <f t="shared" si="20"/>
        <v>2100</v>
      </c>
      <c r="E52" s="17">
        <f t="shared" si="21"/>
        <v>525</v>
      </c>
      <c r="F52" s="23">
        <f t="shared" si="24"/>
        <v>-1575</v>
      </c>
      <c r="G52" s="78">
        <f t="shared" si="23"/>
        <v>3.5750766087844742E-2</v>
      </c>
      <c r="H52" s="335"/>
      <c r="I52" s="37"/>
      <c r="J52" s="37"/>
      <c r="K52" s="37"/>
      <c r="L52" s="37"/>
      <c r="M52" s="37"/>
      <c r="N52" s="6"/>
    </row>
    <row r="53" spans="1:15" s="3" customFormat="1" ht="15" customHeight="1" x14ac:dyDescent="0.35">
      <c r="A53" s="6"/>
      <c r="B53" s="22" t="s">
        <v>64</v>
      </c>
      <c r="C53" s="73">
        <v>500</v>
      </c>
      <c r="D53" s="17">
        <f t="shared" si="20"/>
        <v>6000</v>
      </c>
      <c r="E53" s="17">
        <f t="shared" si="21"/>
        <v>1500</v>
      </c>
      <c r="F53" s="23">
        <f t="shared" si="24"/>
        <v>-4500</v>
      </c>
      <c r="G53" s="78">
        <f t="shared" si="23"/>
        <v>0.10214504596527069</v>
      </c>
      <c r="H53" s="31"/>
      <c r="I53" s="37"/>
      <c r="J53" s="37"/>
      <c r="K53" s="37"/>
      <c r="L53" s="37"/>
      <c r="M53" s="37"/>
      <c r="N53" s="6"/>
    </row>
    <row r="54" spans="1:15" s="3" customFormat="1" ht="15" customHeight="1" x14ac:dyDescent="0.35">
      <c r="A54" s="6"/>
      <c r="B54" s="22" t="s">
        <v>65</v>
      </c>
      <c r="C54" s="73">
        <v>30</v>
      </c>
      <c r="D54" s="17">
        <f t="shared" si="20"/>
        <v>360</v>
      </c>
      <c r="E54" s="17">
        <f t="shared" si="21"/>
        <v>90</v>
      </c>
      <c r="F54" s="23">
        <f t="shared" si="24"/>
        <v>-270</v>
      </c>
      <c r="G54" s="78">
        <f t="shared" si="23"/>
        <v>6.1287027579162408E-3</v>
      </c>
      <c r="H54" s="334"/>
      <c r="I54" s="37"/>
      <c r="J54" s="37"/>
      <c r="K54" s="37"/>
      <c r="L54" s="37"/>
      <c r="M54" s="37"/>
      <c r="N54" s="6"/>
    </row>
    <row r="55" spans="1:15" s="3" customFormat="1" ht="15" customHeight="1" x14ac:dyDescent="0.35">
      <c r="A55" s="6"/>
      <c r="B55" s="22" t="s">
        <v>66</v>
      </c>
      <c r="C55" s="73">
        <v>300</v>
      </c>
      <c r="D55" s="17">
        <f t="shared" si="20"/>
        <v>3600</v>
      </c>
      <c r="E55" s="17">
        <f t="shared" si="21"/>
        <v>900</v>
      </c>
      <c r="F55" s="23">
        <f t="shared" si="24"/>
        <v>-2700</v>
      </c>
      <c r="G55" s="78">
        <f t="shared" si="23"/>
        <v>6.1287027579162413E-2</v>
      </c>
      <c r="H55" s="335"/>
      <c r="I55" s="37"/>
      <c r="J55" s="37"/>
      <c r="K55" s="37"/>
      <c r="L55" s="37"/>
      <c r="M55" s="37"/>
      <c r="N55" s="6"/>
    </row>
    <row r="56" spans="1:15" s="3" customFormat="1" ht="15" customHeight="1" x14ac:dyDescent="0.35">
      <c r="A56" s="6"/>
      <c r="B56" s="22" t="s">
        <v>67</v>
      </c>
      <c r="C56" s="73">
        <v>360</v>
      </c>
      <c r="D56" s="17">
        <f t="shared" si="20"/>
        <v>4320</v>
      </c>
      <c r="E56" s="17">
        <f t="shared" si="21"/>
        <v>1080</v>
      </c>
      <c r="F56" s="23">
        <f t="shared" ref="F56:F63" si="25">E56-D56</f>
        <v>-3240</v>
      </c>
      <c r="G56" s="78">
        <f t="shared" si="23"/>
        <v>7.3544433094994893E-2</v>
      </c>
      <c r="H56" s="335"/>
      <c r="I56" s="37"/>
      <c r="J56" s="37"/>
      <c r="K56" s="37"/>
      <c r="L56" s="37"/>
      <c r="M56" s="37"/>
      <c r="N56" s="6"/>
    </row>
    <row r="57" spans="1:15" s="3" customFormat="1" ht="15" customHeight="1" x14ac:dyDescent="0.35">
      <c r="A57" s="6"/>
      <c r="B57" s="22" t="s">
        <v>102</v>
      </c>
      <c r="C57" s="73">
        <v>420</v>
      </c>
      <c r="D57" s="17">
        <f t="shared" si="20"/>
        <v>5040</v>
      </c>
      <c r="E57" s="17">
        <f t="shared" si="21"/>
        <v>1260</v>
      </c>
      <c r="F57" s="23">
        <f t="shared" si="25"/>
        <v>-3780</v>
      </c>
      <c r="G57" s="78">
        <f t="shared" si="23"/>
        <v>8.580183861082738E-2</v>
      </c>
      <c r="H57" s="335"/>
      <c r="I57" s="37"/>
      <c r="J57" s="37"/>
      <c r="K57" s="37"/>
      <c r="L57" s="37"/>
      <c r="M57" s="37"/>
      <c r="N57" s="6"/>
    </row>
    <row r="58" spans="1:15" s="3" customFormat="1" ht="15" customHeight="1" x14ac:dyDescent="0.35">
      <c r="A58" s="6"/>
      <c r="B58" s="22" t="s">
        <v>68</v>
      </c>
      <c r="C58" s="73">
        <v>130</v>
      </c>
      <c r="D58" s="17">
        <f t="shared" si="20"/>
        <v>1560</v>
      </c>
      <c r="E58" s="17">
        <f t="shared" si="21"/>
        <v>390</v>
      </c>
      <c r="F58" s="23">
        <f t="shared" si="25"/>
        <v>-1170</v>
      </c>
      <c r="G58" s="78">
        <f t="shared" si="23"/>
        <v>2.6557711950970377E-2</v>
      </c>
      <c r="H58" s="335"/>
      <c r="I58" s="37"/>
      <c r="J58" s="37"/>
      <c r="K58" s="37"/>
      <c r="L58" s="37"/>
      <c r="M58" s="37"/>
      <c r="N58" s="6"/>
    </row>
    <row r="59" spans="1:15" s="3" customFormat="1" ht="15" customHeight="1" x14ac:dyDescent="0.35">
      <c r="A59" s="6"/>
      <c r="B59" s="22" t="s">
        <v>98</v>
      </c>
      <c r="C59" s="73">
        <v>270</v>
      </c>
      <c r="D59" s="17">
        <f t="shared" si="20"/>
        <v>3240</v>
      </c>
      <c r="E59" s="17">
        <f t="shared" si="21"/>
        <v>810</v>
      </c>
      <c r="F59" s="23">
        <f t="shared" si="25"/>
        <v>-2430</v>
      </c>
      <c r="G59" s="78">
        <f t="shared" si="23"/>
        <v>5.515832482124617E-2</v>
      </c>
      <c r="H59" s="335"/>
      <c r="I59" s="37"/>
      <c r="J59" s="37"/>
      <c r="K59" s="37"/>
      <c r="L59" s="37"/>
      <c r="M59" s="37"/>
      <c r="N59" s="6"/>
    </row>
    <row r="60" spans="1:15" s="3" customFormat="1" ht="15" customHeight="1" x14ac:dyDescent="0.35">
      <c r="A60" s="6"/>
      <c r="B60" s="22" t="s">
        <v>69</v>
      </c>
      <c r="C60" s="73">
        <v>300</v>
      </c>
      <c r="D60" s="17">
        <f t="shared" si="20"/>
        <v>3600</v>
      </c>
      <c r="E60" s="17">
        <f t="shared" si="21"/>
        <v>900</v>
      </c>
      <c r="F60" s="23">
        <f t="shared" si="25"/>
        <v>-2700</v>
      </c>
      <c r="G60" s="78">
        <f t="shared" si="23"/>
        <v>6.1287027579162413E-2</v>
      </c>
      <c r="H60" s="335"/>
      <c r="I60" s="37"/>
      <c r="J60" s="37"/>
      <c r="K60" s="37"/>
      <c r="L60" s="37"/>
      <c r="M60" s="6"/>
      <c r="N60" s="6"/>
    </row>
    <row r="61" spans="1:15" s="3" customFormat="1" ht="15" customHeight="1" x14ac:dyDescent="0.35">
      <c r="A61" s="6"/>
      <c r="B61" s="22" t="s">
        <v>70</v>
      </c>
      <c r="C61" s="73">
        <v>180</v>
      </c>
      <c r="D61" s="17">
        <f t="shared" si="20"/>
        <v>2160</v>
      </c>
      <c r="E61" s="17">
        <f t="shared" si="21"/>
        <v>540</v>
      </c>
      <c r="F61" s="23">
        <f t="shared" si="25"/>
        <v>-1620</v>
      </c>
      <c r="G61" s="78">
        <f t="shared" si="23"/>
        <v>3.6772216547497447E-2</v>
      </c>
      <c r="H61" s="335"/>
      <c r="I61" s="6"/>
      <c r="J61" s="6"/>
      <c r="K61" s="6"/>
      <c r="L61" s="6"/>
      <c r="M61" s="6"/>
      <c r="N61" s="6"/>
    </row>
    <row r="62" spans="1:15" s="3" customFormat="1" ht="15" customHeight="1" x14ac:dyDescent="0.35">
      <c r="A62" s="6"/>
      <c r="B62" s="22" t="s">
        <v>71</v>
      </c>
      <c r="C62" s="73">
        <v>200</v>
      </c>
      <c r="D62" s="17">
        <f t="shared" si="20"/>
        <v>2400</v>
      </c>
      <c r="E62" s="17">
        <v>0</v>
      </c>
      <c r="F62" s="23">
        <f t="shared" si="25"/>
        <v>-2400</v>
      </c>
      <c r="G62" s="78">
        <f t="shared" si="23"/>
        <v>0</v>
      </c>
      <c r="H62" s="31"/>
      <c r="I62" s="6"/>
      <c r="J62" s="6"/>
      <c r="K62" s="6"/>
      <c r="L62" s="6"/>
      <c r="M62" s="6"/>
      <c r="N62" s="6"/>
    </row>
    <row r="63" spans="1:15" s="3" customFormat="1" ht="15" customHeight="1" x14ac:dyDescent="0.35">
      <c r="A63" s="6"/>
      <c r="B63" s="22"/>
      <c r="C63" s="73"/>
      <c r="D63" s="25">
        <v>67535</v>
      </c>
      <c r="E63" s="25">
        <f>SUM(E44:E62)</f>
        <v>14685</v>
      </c>
      <c r="F63" s="23">
        <f t="shared" si="25"/>
        <v>-52850</v>
      </c>
      <c r="G63" s="79" t="e">
        <f>+E63/$E$97</f>
        <v>#REF!</v>
      </c>
      <c r="H63" s="334"/>
      <c r="I63" s="6"/>
      <c r="J63" s="6"/>
      <c r="K63" s="6"/>
      <c r="L63" s="6"/>
      <c r="M63" s="6"/>
      <c r="N63" s="6"/>
    </row>
    <row r="64" spans="1:15" s="3" customFormat="1" ht="15" customHeight="1" x14ac:dyDescent="0.35">
      <c r="A64" s="6"/>
      <c r="B64" s="19" t="s">
        <v>12</v>
      </c>
      <c r="C64" s="73"/>
      <c r="D64" s="26"/>
      <c r="E64" s="26"/>
      <c r="F64" s="23"/>
      <c r="G64" s="77"/>
      <c r="H64" s="335"/>
      <c r="I64" s="38"/>
      <c r="J64" s="38"/>
      <c r="K64" s="38"/>
      <c r="L64" s="6"/>
      <c r="M64" s="6"/>
      <c r="N64" s="6"/>
    </row>
    <row r="65" spans="1:14" s="3" customFormat="1" ht="15" customHeight="1" x14ac:dyDescent="0.35">
      <c r="A65" s="6"/>
      <c r="B65" s="22" t="s">
        <v>72</v>
      </c>
      <c r="C65" s="73">
        <v>60</v>
      </c>
      <c r="D65" s="17">
        <f t="shared" ref="D65:D73" si="26">+C65*$D$19</f>
        <v>720</v>
      </c>
      <c r="E65" s="17">
        <f t="shared" ref="E65:E73" si="27">+C65*$E$19</f>
        <v>180</v>
      </c>
      <c r="F65" s="23">
        <f t="shared" ref="F65:F74" si="28">E65-D65</f>
        <v>-540</v>
      </c>
      <c r="G65" s="78">
        <f>+E65/$E$74</f>
        <v>2.8708133971291867E-2</v>
      </c>
      <c r="H65" s="335"/>
      <c r="I65" s="38"/>
      <c r="J65" s="38"/>
      <c r="K65" s="38"/>
      <c r="L65" s="6"/>
      <c r="M65" s="6"/>
      <c r="N65" s="6"/>
    </row>
    <row r="66" spans="1:14" s="3" customFormat="1" ht="15" customHeight="1" x14ac:dyDescent="0.35">
      <c r="A66" s="6"/>
      <c r="B66" s="22" t="s">
        <v>73</v>
      </c>
      <c r="C66" s="73">
        <v>60</v>
      </c>
      <c r="D66" s="17">
        <f t="shared" si="26"/>
        <v>720</v>
      </c>
      <c r="E66" s="17">
        <f t="shared" si="27"/>
        <v>180</v>
      </c>
      <c r="F66" s="23">
        <f t="shared" si="28"/>
        <v>-540</v>
      </c>
      <c r="G66" s="78">
        <f t="shared" ref="G66:G73" si="29">+E66/$E$74</f>
        <v>2.8708133971291867E-2</v>
      </c>
      <c r="H66" s="335"/>
      <c r="I66" s="38"/>
      <c r="J66" s="38"/>
      <c r="K66" s="38"/>
      <c r="L66" s="6"/>
      <c r="M66" s="6"/>
      <c r="N66" s="6"/>
    </row>
    <row r="67" spans="1:14" s="3" customFormat="1" ht="15" customHeight="1" x14ac:dyDescent="0.35">
      <c r="A67" s="6"/>
      <c r="B67" s="22" t="s">
        <v>74</v>
      </c>
      <c r="C67" s="73">
        <v>450</v>
      </c>
      <c r="D67" s="17">
        <f t="shared" si="26"/>
        <v>5400</v>
      </c>
      <c r="E67" s="17">
        <f t="shared" si="27"/>
        <v>1350</v>
      </c>
      <c r="F67" s="23">
        <f t="shared" si="28"/>
        <v>-4050</v>
      </c>
      <c r="G67" s="78">
        <f t="shared" si="29"/>
        <v>0.21531100478468901</v>
      </c>
      <c r="H67" s="335"/>
      <c r="I67" s="38"/>
      <c r="J67" s="38"/>
      <c r="K67" s="38"/>
      <c r="L67" s="6"/>
      <c r="M67" s="6"/>
      <c r="N67" s="6"/>
    </row>
    <row r="68" spans="1:14" s="3" customFormat="1" ht="15" customHeight="1" x14ac:dyDescent="0.35">
      <c r="A68" s="6"/>
      <c r="B68" s="22" t="s">
        <v>75</v>
      </c>
      <c r="C68" s="73">
        <v>150</v>
      </c>
      <c r="D68" s="17">
        <f t="shared" si="26"/>
        <v>1800</v>
      </c>
      <c r="E68" s="17">
        <f t="shared" si="27"/>
        <v>450</v>
      </c>
      <c r="F68" s="23">
        <f t="shared" si="28"/>
        <v>-1350</v>
      </c>
      <c r="G68" s="78">
        <f t="shared" si="29"/>
        <v>7.1770334928229665E-2</v>
      </c>
      <c r="H68" s="36"/>
      <c r="I68" s="38"/>
      <c r="J68" s="38"/>
      <c r="K68" s="38"/>
      <c r="L68" s="6"/>
      <c r="M68" s="6"/>
      <c r="N68" s="6"/>
    </row>
    <row r="69" spans="1:14" s="3" customFormat="1" ht="15" customHeight="1" x14ac:dyDescent="0.35">
      <c r="A69" s="6"/>
      <c r="B69" s="22" t="s">
        <v>76</v>
      </c>
      <c r="C69" s="73">
        <v>80</v>
      </c>
      <c r="D69" s="17">
        <f t="shared" si="26"/>
        <v>960</v>
      </c>
      <c r="E69" s="17">
        <f t="shared" si="27"/>
        <v>240</v>
      </c>
      <c r="F69" s="23">
        <f t="shared" si="28"/>
        <v>-720</v>
      </c>
      <c r="G69" s="78">
        <f t="shared" si="29"/>
        <v>3.8277511961722487E-2</v>
      </c>
      <c r="H69" s="31"/>
      <c r="I69" s="38"/>
      <c r="J69" s="38"/>
      <c r="K69" s="38"/>
      <c r="L69" s="6"/>
      <c r="M69" s="6"/>
      <c r="N69" s="6"/>
    </row>
    <row r="70" spans="1:14" s="3" customFormat="1" ht="14.5" customHeight="1" x14ac:dyDescent="0.35">
      <c r="A70" s="6"/>
      <c r="B70" s="22" t="s">
        <v>93</v>
      </c>
      <c r="C70" s="73">
        <v>210</v>
      </c>
      <c r="D70" s="17">
        <f t="shared" si="26"/>
        <v>2520</v>
      </c>
      <c r="E70" s="17">
        <f t="shared" si="27"/>
        <v>630</v>
      </c>
      <c r="F70" s="23">
        <f t="shared" si="28"/>
        <v>-1890</v>
      </c>
      <c r="G70" s="78">
        <f t="shared" si="29"/>
        <v>0.10047846889952153</v>
      </c>
      <c r="H70" s="334"/>
      <c r="I70" s="6"/>
      <c r="J70" s="6"/>
      <c r="K70" s="6"/>
      <c r="L70" s="6"/>
      <c r="M70" s="6"/>
      <c r="N70" s="6"/>
    </row>
    <row r="71" spans="1:14" s="3" customFormat="1" ht="14.5" customHeight="1" x14ac:dyDescent="0.35">
      <c r="A71" s="6"/>
      <c r="B71" s="22" t="s">
        <v>95</v>
      </c>
      <c r="C71" s="73">
        <v>800</v>
      </c>
      <c r="D71" s="17">
        <f t="shared" si="26"/>
        <v>9600</v>
      </c>
      <c r="E71" s="17">
        <f t="shared" si="27"/>
        <v>2400</v>
      </c>
      <c r="F71" s="23">
        <f t="shared" si="28"/>
        <v>-7200</v>
      </c>
      <c r="G71" s="78">
        <f t="shared" si="29"/>
        <v>0.38277511961722488</v>
      </c>
      <c r="H71" s="335"/>
      <c r="I71" s="6"/>
      <c r="J71" s="6"/>
      <c r="K71" s="6"/>
      <c r="L71" s="6"/>
      <c r="M71" s="6"/>
      <c r="N71" s="6"/>
    </row>
    <row r="72" spans="1:14" s="3" customFormat="1" ht="14.5" customHeight="1" x14ac:dyDescent="0.35">
      <c r="A72" s="6"/>
      <c r="B72" s="22" t="s">
        <v>77</v>
      </c>
      <c r="C72" s="73">
        <v>190</v>
      </c>
      <c r="D72" s="17">
        <f t="shared" si="26"/>
        <v>2280</v>
      </c>
      <c r="E72" s="17">
        <f t="shared" si="27"/>
        <v>570</v>
      </c>
      <c r="F72" s="23">
        <f t="shared" si="28"/>
        <v>-1710</v>
      </c>
      <c r="G72" s="78">
        <f t="shared" si="29"/>
        <v>9.0909090909090912E-2</v>
      </c>
      <c r="H72" s="335"/>
      <c r="I72" s="6"/>
      <c r="J72" s="6"/>
      <c r="K72" s="6"/>
      <c r="L72" s="6"/>
      <c r="M72" s="6"/>
      <c r="N72" s="6"/>
    </row>
    <row r="73" spans="1:14" s="3" customFormat="1" ht="14.5" customHeight="1" x14ac:dyDescent="0.35">
      <c r="A73" s="6"/>
      <c r="B73" s="22" t="s">
        <v>78</v>
      </c>
      <c r="C73" s="73">
        <v>90</v>
      </c>
      <c r="D73" s="17">
        <f t="shared" si="26"/>
        <v>1080</v>
      </c>
      <c r="E73" s="17">
        <f t="shared" si="27"/>
        <v>270</v>
      </c>
      <c r="F73" s="23">
        <f t="shared" si="28"/>
        <v>-810</v>
      </c>
      <c r="G73" s="78">
        <f t="shared" si="29"/>
        <v>4.3062200956937802E-2</v>
      </c>
      <c r="H73" s="335"/>
      <c r="I73" s="6"/>
      <c r="J73" s="6"/>
      <c r="K73" s="6"/>
      <c r="L73" s="6"/>
      <c r="M73" s="6"/>
      <c r="N73" s="6"/>
    </row>
    <row r="74" spans="1:14" s="3" customFormat="1" ht="14.5" customHeight="1" x14ac:dyDescent="0.35">
      <c r="A74" s="6"/>
      <c r="B74" s="22"/>
      <c r="C74" s="73"/>
      <c r="D74" s="25">
        <v>26520</v>
      </c>
      <c r="E74" s="25">
        <f>SUM(E65:E73)</f>
        <v>6270</v>
      </c>
      <c r="F74" s="23">
        <f t="shared" si="28"/>
        <v>-20250</v>
      </c>
      <c r="G74" s="79" t="e">
        <f>+E74/$E$97</f>
        <v>#REF!</v>
      </c>
      <c r="H74" s="335"/>
      <c r="I74" s="6"/>
      <c r="J74" s="6"/>
      <c r="K74" s="6"/>
      <c r="L74" s="6"/>
      <c r="M74" s="6"/>
      <c r="N74" s="6"/>
    </row>
    <row r="75" spans="1:14" s="3" customFormat="1" ht="14.5" customHeight="1" x14ac:dyDescent="0.35">
      <c r="A75" s="6"/>
      <c r="B75" s="19" t="s">
        <v>13</v>
      </c>
      <c r="C75" s="73"/>
      <c r="D75" s="26"/>
      <c r="E75" s="26"/>
      <c r="F75" s="23"/>
      <c r="G75" s="77"/>
      <c r="H75" s="335"/>
      <c r="I75" s="6"/>
      <c r="J75" s="6"/>
      <c r="K75" s="6"/>
      <c r="L75" s="6"/>
      <c r="M75" s="6"/>
      <c r="N75" s="6"/>
    </row>
    <row r="76" spans="1:14" s="3" customFormat="1" ht="14.5" customHeight="1" x14ac:dyDescent="0.35">
      <c r="A76" s="6"/>
      <c r="B76" s="22" t="s">
        <v>79</v>
      </c>
      <c r="C76" s="73">
        <v>42</v>
      </c>
      <c r="D76" s="17">
        <f t="shared" ref="D76:D85" si="30">+C76*$D$19</f>
        <v>504</v>
      </c>
      <c r="E76" s="17">
        <f t="shared" ref="E76:E85" si="31">+C76*$E$19</f>
        <v>126</v>
      </c>
      <c r="F76" s="23">
        <f t="shared" ref="F76:F86" si="32">E76-D76</f>
        <v>-378</v>
      </c>
      <c r="G76" s="78">
        <f>+E76/$E$86</f>
        <v>4.2296072507552872E-2</v>
      </c>
      <c r="H76" s="335"/>
      <c r="I76" s="6"/>
      <c r="J76" s="6"/>
      <c r="K76" s="6"/>
      <c r="L76" s="6"/>
      <c r="M76" s="6"/>
      <c r="N76" s="6"/>
    </row>
    <row r="77" spans="1:14" s="3" customFormat="1" ht="14.5" customHeight="1" x14ac:dyDescent="0.35">
      <c r="A77" s="6"/>
      <c r="B77" s="22" t="s">
        <v>80</v>
      </c>
      <c r="C77" s="73">
        <v>0</v>
      </c>
      <c r="D77" s="17">
        <f t="shared" si="30"/>
        <v>0</v>
      </c>
      <c r="E77" s="17">
        <f t="shared" si="31"/>
        <v>0</v>
      </c>
      <c r="F77" s="23">
        <f t="shared" si="32"/>
        <v>0</v>
      </c>
      <c r="G77" s="78">
        <f t="shared" ref="G77:G85" si="33">+E77/$E$86</f>
        <v>0</v>
      </c>
      <c r="H77" s="4"/>
      <c r="I77" s="6"/>
      <c r="J77" s="6"/>
      <c r="K77" s="6"/>
      <c r="L77" s="6"/>
      <c r="M77" s="6"/>
      <c r="N77" s="6"/>
    </row>
    <row r="78" spans="1:14" s="3" customFormat="1" ht="14.5" customHeight="1" x14ac:dyDescent="0.35">
      <c r="A78" s="6"/>
      <c r="B78" s="22" t="s">
        <v>81</v>
      </c>
      <c r="C78" s="73">
        <v>129</v>
      </c>
      <c r="D78" s="17">
        <f t="shared" si="30"/>
        <v>1548</v>
      </c>
      <c r="E78" s="17">
        <f t="shared" si="31"/>
        <v>387</v>
      </c>
      <c r="F78" s="23">
        <f t="shared" si="32"/>
        <v>-1161</v>
      </c>
      <c r="G78" s="78">
        <f t="shared" si="33"/>
        <v>0.12990936555891239</v>
      </c>
      <c r="H78" s="336"/>
      <c r="I78" s="6"/>
      <c r="J78" s="6"/>
      <c r="K78" s="6"/>
      <c r="L78" s="6"/>
      <c r="M78" s="6"/>
      <c r="N78" s="6"/>
    </row>
    <row r="79" spans="1:14" s="3" customFormat="1" ht="14.5" customHeight="1" x14ac:dyDescent="0.35">
      <c r="A79" s="6"/>
      <c r="B79" s="22" t="s">
        <v>94</v>
      </c>
      <c r="C79" s="73">
        <v>140</v>
      </c>
      <c r="D79" s="17">
        <f t="shared" si="30"/>
        <v>1680</v>
      </c>
      <c r="E79" s="17">
        <f t="shared" si="31"/>
        <v>420</v>
      </c>
      <c r="F79" s="23">
        <f t="shared" si="32"/>
        <v>-1260</v>
      </c>
      <c r="G79" s="78">
        <f t="shared" si="33"/>
        <v>0.14098690835850958</v>
      </c>
      <c r="H79" s="337"/>
      <c r="I79" s="6"/>
      <c r="J79" s="6"/>
      <c r="K79" s="6"/>
      <c r="L79" s="6"/>
      <c r="M79" s="6"/>
      <c r="N79" s="6"/>
    </row>
    <row r="80" spans="1:14" s="3" customFormat="1" ht="15.75" customHeight="1" x14ac:dyDescent="0.35">
      <c r="A80" s="6"/>
      <c r="B80" s="22" t="s">
        <v>82</v>
      </c>
      <c r="C80" s="73">
        <v>98</v>
      </c>
      <c r="D80" s="17">
        <f t="shared" si="30"/>
        <v>1176</v>
      </c>
      <c r="E80" s="17">
        <f t="shared" si="31"/>
        <v>294</v>
      </c>
      <c r="F80" s="23">
        <f t="shared" si="32"/>
        <v>-882</v>
      </c>
      <c r="G80" s="78">
        <f t="shared" si="33"/>
        <v>9.8690835850956699E-2</v>
      </c>
      <c r="H80" s="337"/>
      <c r="I80" s="6"/>
      <c r="J80" s="6"/>
      <c r="K80" s="6"/>
      <c r="L80" s="6"/>
      <c r="M80" s="6"/>
      <c r="N80" s="6"/>
    </row>
    <row r="81" spans="1:14" s="3" customFormat="1" ht="15.75" customHeight="1" x14ac:dyDescent="0.35">
      <c r="A81" s="6"/>
      <c r="B81" s="22" t="s">
        <v>83</v>
      </c>
      <c r="C81" s="73">
        <v>150</v>
      </c>
      <c r="D81" s="17">
        <f t="shared" si="30"/>
        <v>1800</v>
      </c>
      <c r="E81" s="17">
        <f t="shared" si="31"/>
        <v>450</v>
      </c>
      <c r="F81" s="23">
        <f t="shared" si="32"/>
        <v>-1350</v>
      </c>
      <c r="G81" s="78">
        <f t="shared" si="33"/>
        <v>0.15105740181268881</v>
      </c>
      <c r="H81" s="337"/>
      <c r="I81" s="6"/>
      <c r="J81" s="6"/>
      <c r="K81" s="6"/>
      <c r="L81" s="6"/>
      <c r="M81" s="6"/>
      <c r="N81" s="6"/>
    </row>
    <row r="82" spans="1:14" s="3" customFormat="1" ht="15.75" customHeight="1" x14ac:dyDescent="0.35">
      <c r="A82" s="6"/>
      <c r="B82" s="22" t="s">
        <v>84</v>
      </c>
      <c r="C82" s="73">
        <v>70</v>
      </c>
      <c r="D82" s="17">
        <f t="shared" si="30"/>
        <v>840</v>
      </c>
      <c r="E82" s="17">
        <f t="shared" si="31"/>
        <v>210</v>
      </c>
      <c r="F82" s="23">
        <f t="shared" si="32"/>
        <v>-630</v>
      </c>
      <c r="G82" s="78">
        <f t="shared" si="33"/>
        <v>7.0493454179254789E-2</v>
      </c>
      <c r="H82" s="337"/>
      <c r="I82" s="6"/>
      <c r="J82" s="6"/>
      <c r="K82" s="6"/>
      <c r="L82" s="6"/>
      <c r="M82" s="6"/>
      <c r="N82" s="6"/>
    </row>
    <row r="83" spans="1:14" s="3" customFormat="1" ht="15.75" customHeight="1" x14ac:dyDescent="0.35">
      <c r="A83" s="6"/>
      <c r="B83" s="22" t="s">
        <v>85</v>
      </c>
      <c r="C83" s="73">
        <v>99</v>
      </c>
      <c r="D83" s="17">
        <f t="shared" si="30"/>
        <v>1188</v>
      </c>
      <c r="E83" s="17">
        <f t="shared" si="31"/>
        <v>297</v>
      </c>
      <c r="F83" s="23">
        <f t="shared" si="32"/>
        <v>-891</v>
      </c>
      <c r="G83" s="78">
        <f t="shared" si="33"/>
        <v>9.9697885196374625E-2</v>
      </c>
      <c r="H83" s="337"/>
      <c r="I83" s="6"/>
      <c r="J83" s="6"/>
      <c r="K83" s="6"/>
      <c r="L83" s="6"/>
      <c r="M83" s="6"/>
      <c r="N83" s="6"/>
    </row>
    <row r="84" spans="1:14" s="3" customFormat="1" ht="15.75" customHeight="1" x14ac:dyDescent="0.35">
      <c r="A84" s="6"/>
      <c r="B84" s="22" t="s">
        <v>86</v>
      </c>
      <c r="C84" s="73">
        <v>195</v>
      </c>
      <c r="D84" s="17">
        <f t="shared" si="30"/>
        <v>2340</v>
      </c>
      <c r="E84" s="17">
        <f t="shared" si="31"/>
        <v>585</v>
      </c>
      <c r="F84" s="23">
        <f t="shared" si="32"/>
        <v>-1755</v>
      </c>
      <c r="G84" s="78">
        <f t="shared" si="33"/>
        <v>0.19637462235649547</v>
      </c>
      <c r="H84" s="337"/>
      <c r="I84" s="6"/>
      <c r="J84" s="6"/>
      <c r="K84" s="6"/>
      <c r="L84" s="6"/>
      <c r="M84" s="6"/>
      <c r="N84" s="6"/>
    </row>
    <row r="85" spans="1:14" s="3" customFormat="1" ht="15.75" customHeight="1" x14ac:dyDescent="0.35">
      <c r="A85" s="6"/>
      <c r="B85" s="22" t="s">
        <v>99</v>
      </c>
      <c r="C85" s="73">
        <v>70</v>
      </c>
      <c r="D85" s="17">
        <f t="shared" si="30"/>
        <v>840</v>
      </c>
      <c r="E85" s="17">
        <f t="shared" si="31"/>
        <v>210</v>
      </c>
      <c r="F85" s="23">
        <f t="shared" si="32"/>
        <v>-630</v>
      </c>
      <c r="G85" s="78">
        <f t="shared" si="33"/>
        <v>7.0493454179254789E-2</v>
      </c>
      <c r="H85" s="2"/>
      <c r="I85" s="6"/>
      <c r="J85" s="6"/>
      <c r="K85" s="6"/>
      <c r="L85" s="6"/>
      <c r="M85" s="6"/>
      <c r="N85" s="6"/>
    </row>
    <row r="86" spans="1:14" s="3" customFormat="1" ht="15.5" customHeight="1" x14ac:dyDescent="0.35">
      <c r="A86" s="6"/>
      <c r="B86" s="22"/>
      <c r="C86" s="73"/>
      <c r="D86" s="25">
        <v>11908</v>
      </c>
      <c r="E86" s="25">
        <f>SUM(E76:E85)</f>
        <v>2979</v>
      </c>
      <c r="F86" s="23">
        <f t="shared" si="32"/>
        <v>-8929</v>
      </c>
      <c r="G86" s="79" t="e">
        <f>+E86/$E$97</f>
        <v>#REF!</v>
      </c>
      <c r="H86" s="6"/>
      <c r="I86" s="6"/>
      <c r="J86" s="6"/>
      <c r="K86" s="6"/>
      <c r="L86" s="6"/>
      <c r="M86" s="6"/>
      <c r="N86" s="6"/>
    </row>
    <row r="87" spans="1:14" s="3" customFormat="1" ht="15.5" customHeight="1" x14ac:dyDescent="0.35">
      <c r="A87" s="6"/>
      <c r="B87" s="22"/>
      <c r="C87" s="73"/>
      <c r="D87" s="26"/>
      <c r="E87" s="26"/>
      <c r="F87" s="23"/>
      <c r="G87" s="79"/>
      <c r="H87" s="6"/>
      <c r="I87" s="6"/>
      <c r="J87" s="6"/>
      <c r="K87" s="6"/>
      <c r="L87" s="6"/>
      <c r="M87" s="6"/>
      <c r="N87" s="6"/>
    </row>
    <row r="88" spans="1:14" s="3" customFormat="1" ht="15.75" customHeight="1" x14ac:dyDescent="0.35">
      <c r="A88" s="6"/>
      <c r="B88" s="19" t="s">
        <v>110</v>
      </c>
      <c r="C88" s="73"/>
      <c r="D88" s="76">
        <f>+D86+D74+D63+D42+D36+D30+D24</f>
        <v>132353</v>
      </c>
      <c r="E88" s="76" t="e">
        <f>+#REF!+#REF!</f>
        <v>#REF!</v>
      </c>
      <c r="F88" s="23"/>
      <c r="G88" s="80" t="e">
        <f>+E88/E97</f>
        <v>#REF!</v>
      </c>
      <c r="H88" s="6"/>
      <c r="I88" s="6"/>
      <c r="J88" s="6"/>
      <c r="K88" s="6"/>
      <c r="L88" s="6"/>
      <c r="M88" s="6"/>
      <c r="N88" s="6"/>
    </row>
    <row r="89" spans="1:14" s="3" customFormat="1" ht="15.75" customHeight="1" x14ac:dyDescent="0.35">
      <c r="A89" s="6"/>
      <c r="B89" s="22"/>
      <c r="C89" s="73"/>
      <c r="D89" s="26"/>
      <c r="E89" s="26"/>
      <c r="F89" s="23"/>
      <c r="G89" s="79"/>
      <c r="H89" s="6"/>
      <c r="I89" s="6"/>
      <c r="J89" s="6"/>
      <c r="K89" s="6"/>
      <c r="L89" s="6"/>
      <c r="M89" s="6"/>
      <c r="N89" s="6"/>
    </row>
    <row r="90" spans="1:14" s="3" customFormat="1" ht="15.75" customHeight="1" x14ac:dyDescent="0.35">
      <c r="A90" s="6"/>
      <c r="B90" s="19" t="s">
        <v>14</v>
      </c>
      <c r="C90" s="73"/>
      <c r="D90" s="26"/>
      <c r="E90" s="26"/>
      <c r="F90" s="23"/>
      <c r="G90" s="77"/>
      <c r="H90" s="6"/>
      <c r="I90" s="6"/>
      <c r="J90" s="6"/>
      <c r="K90" s="6"/>
      <c r="L90" s="6"/>
      <c r="M90" s="6"/>
      <c r="N90" s="6"/>
    </row>
    <row r="91" spans="1:14" s="3" customFormat="1" ht="15.75" customHeight="1" x14ac:dyDescent="0.35">
      <c r="A91" s="6"/>
      <c r="B91" s="22" t="s">
        <v>15</v>
      </c>
      <c r="C91" s="73"/>
      <c r="D91" s="17">
        <v>0</v>
      </c>
      <c r="E91" s="17" t="e">
        <f>+#REF!</f>
        <v>#REF!</v>
      </c>
      <c r="F91" s="23" t="e">
        <f t="shared" ref="F91:F95" si="34">E91-D91</f>
        <v>#REF!</v>
      </c>
      <c r="G91" s="79" t="e">
        <f>+E91/$E$97</f>
        <v>#REF!</v>
      </c>
      <c r="H91" s="6"/>
      <c r="I91" s="6"/>
      <c r="J91" s="6"/>
      <c r="K91" s="6"/>
      <c r="L91" s="6"/>
      <c r="M91" s="6"/>
      <c r="N91" s="6"/>
    </row>
    <row r="92" spans="1:14" s="3" customFormat="1" ht="15.75" customHeight="1" x14ac:dyDescent="0.35">
      <c r="A92" s="6"/>
      <c r="B92" s="22" t="s">
        <v>17</v>
      </c>
      <c r="C92" s="73"/>
      <c r="D92" s="17">
        <v>28794</v>
      </c>
      <c r="E92" s="17">
        <f>SUMIF(Tabela1[Categoria Receita],'Orçado x Realizado'!B92,Tabela1[Valor])</f>
        <v>0</v>
      </c>
      <c r="F92" s="23">
        <f t="shared" si="34"/>
        <v>-28794</v>
      </c>
      <c r="G92" s="79" t="e">
        <f t="shared" ref="G92:G94" si="35">+E92/$E$97</f>
        <v>#REF!</v>
      </c>
      <c r="H92" s="6"/>
      <c r="I92" s="6"/>
      <c r="J92" s="6"/>
      <c r="K92" s="6"/>
      <c r="L92" s="6"/>
      <c r="M92" s="6"/>
      <c r="N92" s="6"/>
    </row>
    <row r="93" spans="1:14" s="3" customFormat="1" ht="15.75" customHeight="1" x14ac:dyDescent="0.35">
      <c r="A93" s="6"/>
      <c r="B93" s="22" t="s">
        <v>16</v>
      </c>
      <c r="C93" s="73"/>
      <c r="D93" s="17">
        <v>6801.11</v>
      </c>
      <c r="E93" s="17" t="e">
        <f>+#REF!+#REF!</f>
        <v>#REF!</v>
      </c>
      <c r="F93" s="23" t="e">
        <f t="shared" si="34"/>
        <v>#REF!</v>
      </c>
      <c r="G93" s="79" t="e">
        <f t="shared" si="35"/>
        <v>#REF!</v>
      </c>
      <c r="H93" s="6"/>
      <c r="I93" s="6"/>
      <c r="J93" s="6"/>
      <c r="K93" s="6"/>
      <c r="L93" s="6"/>
      <c r="M93" s="6"/>
      <c r="N93" s="6"/>
    </row>
    <row r="94" spans="1:14" s="3" customFormat="1" ht="15.75" customHeight="1" x14ac:dyDescent="0.35">
      <c r="A94" s="6"/>
      <c r="B94" s="22" t="s">
        <v>18</v>
      </c>
      <c r="C94" s="73"/>
      <c r="D94" s="17">
        <v>0</v>
      </c>
      <c r="E94" s="17">
        <f>SUMIF(Tabela1[Categoria Receita],'Orçado x Realizado'!B94,Tabela1[Valor])</f>
        <v>0</v>
      </c>
      <c r="F94" s="23">
        <f t="shared" si="34"/>
        <v>0</v>
      </c>
      <c r="G94" s="79" t="e">
        <f t="shared" si="35"/>
        <v>#REF!</v>
      </c>
      <c r="H94" s="6"/>
      <c r="I94" s="6"/>
      <c r="J94" s="6"/>
      <c r="K94" s="6"/>
      <c r="L94" s="6"/>
      <c r="N94" s="6"/>
    </row>
    <row r="95" spans="1:14" s="3" customFormat="1" ht="15.75" customHeight="1" x14ac:dyDescent="0.35">
      <c r="A95" s="6"/>
      <c r="B95" s="22"/>
      <c r="C95" s="20"/>
      <c r="D95" s="25">
        <f>SUM(D91:D94)</f>
        <v>35595.11</v>
      </c>
      <c r="E95" s="25" t="e">
        <f>SUM(E91:E94)</f>
        <v>#REF!</v>
      </c>
      <c r="F95" s="23" t="e">
        <f t="shared" si="34"/>
        <v>#REF!</v>
      </c>
      <c r="G95" s="68"/>
      <c r="H95" s="6"/>
      <c r="N95" s="6"/>
    </row>
    <row r="96" spans="1:14" s="3" customFormat="1" ht="15.75" customHeight="1" x14ac:dyDescent="0.35">
      <c r="A96" s="6"/>
      <c r="B96" s="22"/>
      <c r="C96" s="20"/>
      <c r="D96" s="26"/>
      <c r="E96" s="26"/>
      <c r="F96" s="23"/>
      <c r="G96" s="66"/>
      <c r="H96" s="6"/>
      <c r="N96" s="6"/>
    </row>
    <row r="97" spans="1:14" s="3" customFormat="1" ht="15.75" customHeight="1" x14ac:dyDescent="0.35">
      <c r="A97" s="6"/>
      <c r="B97" s="58" t="s">
        <v>108</v>
      </c>
      <c r="C97" s="71"/>
      <c r="D97" s="34">
        <f>+D24+D30+D36+D42+D63+D74+D86+D95</f>
        <v>167948.11</v>
      </c>
      <c r="E97" s="34" t="e">
        <f>+E95+E88</f>
        <v>#REF!</v>
      </c>
      <c r="F97" s="35" t="e">
        <f t="shared" si="2"/>
        <v>#REF!</v>
      </c>
      <c r="G97" s="66"/>
      <c r="H97" s="6"/>
      <c r="I97" s="87"/>
      <c r="N97" s="6"/>
    </row>
    <row r="98" spans="1:14" s="3" customFormat="1" ht="15.75" customHeight="1" x14ac:dyDescent="0.35">
      <c r="A98" s="6"/>
      <c r="B98" s="6"/>
      <c r="C98" s="6"/>
      <c r="D98" s="81"/>
      <c r="E98" s="6"/>
      <c r="F98" s="6"/>
      <c r="G98" s="6"/>
      <c r="H98" s="6"/>
    </row>
    <row r="99" spans="1:14" s="3" customFormat="1" ht="15.75" customHeight="1" x14ac:dyDescent="0.35"/>
    <row r="100" spans="1:14" s="3" customFormat="1" ht="15.75" customHeight="1" x14ac:dyDescent="0.35"/>
    <row r="101" spans="1:14" s="3" customFormat="1" ht="15.75" customHeight="1" x14ac:dyDescent="0.35"/>
    <row r="102" spans="1:14" s="3" customFormat="1" ht="15.75" customHeight="1" x14ac:dyDescent="0.35"/>
    <row r="103" spans="1:14" s="3" customFormat="1" ht="15.75" customHeight="1" x14ac:dyDescent="0.35"/>
    <row r="104" spans="1:14" s="3" customFormat="1" ht="15.75" customHeight="1" x14ac:dyDescent="0.35"/>
    <row r="105" spans="1:14" s="3" customFormat="1" ht="15.75" customHeight="1" x14ac:dyDescent="0.35"/>
    <row r="106" spans="1:14" s="3" customFormat="1" ht="15.75" customHeight="1" x14ac:dyDescent="0.35"/>
    <row r="107" spans="1:14" s="3" customFormat="1" ht="15.75" customHeight="1" x14ac:dyDescent="0.35"/>
    <row r="108" spans="1:14" s="3" customFormat="1" ht="15.75" customHeight="1" x14ac:dyDescent="0.35"/>
    <row r="109" spans="1:14" s="3" customFormat="1" ht="15.75" customHeight="1" x14ac:dyDescent="0.35"/>
    <row r="110" spans="1:14" s="3" customFormat="1" ht="15.75" customHeight="1" x14ac:dyDescent="0.35"/>
    <row r="111" spans="1:14" s="3" customFormat="1" ht="15.75" customHeight="1" x14ac:dyDescent="0.35"/>
    <row r="112" spans="1:14" s="3" customFormat="1" ht="15.75" customHeight="1" x14ac:dyDescent="0.35"/>
    <row r="113" spans="9:13" s="3" customFormat="1" ht="15.75" customHeight="1" x14ac:dyDescent="0.35"/>
    <row r="114" spans="9:13" s="3" customFormat="1" ht="15.75" customHeight="1" x14ac:dyDescent="0.35"/>
    <row r="115" spans="9:13" s="3" customFormat="1" ht="15.75" customHeight="1" x14ac:dyDescent="0.35"/>
    <row r="116" spans="9:13" s="3" customFormat="1" ht="15.75" customHeight="1" x14ac:dyDescent="0.35"/>
    <row r="117" spans="9:13" s="3" customFormat="1" ht="15.75" customHeight="1" x14ac:dyDescent="0.35"/>
    <row r="118" spans="9:13" s="3" customFormat="1" ht="15.75" customHeight="1" x14ac:dyDescent="0.35"/>
    <row r="119" spans="9:13" s="3" customFormat="1" ht="15.75" customHeight="1" x14ac:dyDescent="0.35"/>
    <row r="120" spans="9:13" s="3" customFormat="1" ht="15.75" customHeight="1" x14ac:dyDescent="0.35"/>
    <row r="121" spans="9:13" s="3" customFormat="1" ht="15.75" customHeight="1" x14ac:dyDescent="0.35"/>
    <row r="122" spans="9:13" s="3" customFormat="1" ht="15.75" customHeight="1" x14ac:dyDescent="0.35"/>
    <row r="123" spans="9:13" s="3" customFormat="1" ht="15.75" customHeight="1" x14ac:dyDescent="0.35">
      <c r="M123"/>
    </row>
    <row r="124" spans="9:13" s="3" customFormat="1" ht="15.75" customHeight="1" x14ac:dyDescent="0.35">
      <c r="I124"/>
      <c r="J124"/>
      <c r="K124"/>
      <c r="L124"/>
      <c r="M124"/>
    </row>
    <row r="125" spans="9:13" s="3" customFormat="1" ht="15.75" customHeight="1" x14ac:dyDescent="0.35">
      <c r="I125"/>
      <c r="J125"/>
      <c r="K125"/>
      <c r="L125"/>
      <c r="M125"/>
    </row>
    <row r="126" spans="9:13" s="3" customFormat="1" ht="15.75" customHeight="1" x14ac:dyDescent="0.35">
      <c r="I126"/>
      <c r="J126"/>
      <c r="K126"/>
      <c r="L126"/>
      <c r="M126"/>
    </row>
    <row r="127" spans="9:13" s="3" customFormat="1" ht="15.75" customHeight="1" x14ac:dyDescent="0.35">
      <c r="I127"/>
      <c r="J127"/>
      <c r="K127"/>
      <c r="L127"/>
      <c r="M127"/>
    </row>
    <row r="128" spans="9:13" s="3" customFormat="1" ht="15.75" customHeight="1" x14ac:dyDescent="0.35">
      <c r="I128"/>
      <c r="J128"/>
      <c r="K128"/>
      <c r="L128"/>
      <c r="M128"/>
    </row>
    <row r="129" spans="2:14" s="3" customFormat="1" ht="15.75" customHeight="1" x14ac:dyDescent="0.35">
      <c r="I129"/>
      <c r="J129"/>
      <c r="K129"/>
      <c r="L129"/>
      <c r="M129"/>
    </row>
    <row r="130" spans="2:14" s="3" customFormat="1" ht="15.75" customHeight="1" x14ac:dyDescent="0.35">
      <c r="I130"/>
      <c r="J130"/>
      <c r="K130"/>
      <c r="L130"/>
      <c r="M130"/>
    </row>
    <row r="131" spans="2:14" s="3" customFormat="1" ht="15.75" customHeight="1" x14ac:dyDescent="0.35">
      <c r="I131"/>
      <c r="J131"/>
      <c r="K131"/>
      <c r="L131"/>
      <c r="M131"/>
    </row>
    <row r="132" spans="2:14" s="3" customFormat="1" ht="15.75" customHeight="1" x14ac:dyDescent="0.35">
      <c r="I132"/>
      <c r="J132"/>
      <c r="K132"/>
      <c r="L132"/>
      <c r="M132"/>
    </row>
    <row r="133" spans="2:14" s="3" customFormat="1" ht="15.75" customHeight="1" x14ac:dyDescent="0.35">
      <c r="I133"/>
      <c r="J133"/>
      <c r="K133"/>
      <c r="L133"/>
      <c r="M133"/>
    </row>
    <row r="134" spans="2:14" s="3" customFormat="1" ht="15.75" customHeight="1" x14ac:dyDescent="0.35">
      <c r="I134"/>
      <c r="J134"/>
      <c r="K134"/>
      <c r="L134"/>
      <c r="M134"/>
    </row>
    <row r="135" spans="2:14" s="3" customFormat="1" ht="15.75" customHeight="1" x14ac:dyDescent="0.35">
      <c r="I135"/>
      <c r="J135"/>
      <c r="K135"/>
      <c r="L135"/>
      <c r="M135"/>
    </row>
    <row r="136" spans="2:14" s="3" customFormat="1" ht="15.75" customHeight="1" x14ac:dyDescent="0.35">
      <c r="I136"/>
      <c r="J136"/>
      <c r="K136"/>
      <c r="L136"/>
      <c r="M136"/>
    </row>
    <row r="137" spans="2:14" s="3" customFormat="1" ht="15.75" customHeight="1" x14ac:dyDescent="0.35">
      <c r="I137"/>
      <c r="J137"/>
      <c r="K137"/>
      <c r="L137"/>
      <c r="M137"/>
    </row>
    <row r="138" spans="2:14" s="3" customFormat="1" ht="15.75" customHeight="1" x14ac:dyDescent="0.35">
      <c r="I138"/>
      <c r="J138"/>
      <c r="K138"/>
      <c r="L138"/>
      <c r="M138"/>
    </row>
    <row r="139" spans="2:14" s="3" customFormat="1" ht="15.75" customHeight="1" x14ac:dyDescent="0.35">
      <c r="I139"/>
      <c r="J139"/>
      <c r="K139"/>
      <c r="L139"/>
      <c r="M139"/>
      <c r="N139"/>
    </row>
    <row r="140" spans="2:14" ht="15.75" customHeight="1" x14ac:dyDescent="0.35">
      <c r="B140" s="3"/>
      <c r="C140" s="3"/>
      <c r="D140" s="3"/>
      <c r="E140" s="3"/>
      <c r="F140" s="3"/>
      <c r="G140" s="3"/>
    </row>
    <row r="141" spans="2:14" ht="15.75" customHeight="1" x14ac:dyDescent="0.35">
      <c r="B141" s="3"/>
      <c r="C141" s="3"/>
      <c r="D141" s="3"/>
      <c r="E141" s="3"/>
      <c r="F141" s="3"/>
      <c r="G141" s="3"/>
    </row>
    <row r="142" spans="2:14" ht="15.75" customHeight="1" x14ac:dyDescent="0.35">
      <c r="B142" s="3"/>
      <c r="C142" s="3"/>
      <c r="D142" s="3"/>
      <c r="E142" s="3"/>
      <c r="F142" s="3"/>
      <c r="G142" s="3"/>
    </row>
    <row r="143" spans="2:14" ht="15.75" customHeight="1" x14ac:dyDescent="0.35">
      <c r="B143" s="3"/>
      <c r="C143" s="3"/>
      <c r="D143" s="3"/>
      <c r="E143" s="3"/>
      <c r="F143" s="3"/>
      <c r="G143" s="3"/>
    </row>
    <row r="144" spans="2:14" ht="15.75" customHeight="1" x14ac:dyDescent="0.35">
      <c r="B144" s="3"/>
      <c r="C144" s="3"/>
      <c r="D144" s="3"/>
      <c r="E144" s="3"/>
      <c r="F144" s="3"/>
      <c r="G144" s="3"/>
    </row>
    <row r="145" spans="2:7" ht="15.75" customHeight="1" x14ac:dyDescent="0.35">
      <c r="B145" s="3"/>
      <c r="C145" s="3"/>
      <c r="D145" s="3"/>
      <c r="E145" s="3"/>
      <c r="F145" s="3"/>
      <c r="G145" s="3"/>
    </row>
    <row r="146" spans="2:7" ht="15.75" customHeight="1" x14ac:dyDescent="0.35">
      <c r="B146" s="3"/>
      <c r="C146" s="3"/>
      <c r="D146" s="3"/>
      <c r="E146" s="3"/>
      <c r="F146" s="3"/>
      <c r="G146" s="3"/>
    </row>
    <row r="147" spans="2:7" ht="15.75" customHeight="1" x14ac:dyDescent="0.35">
      <c r="B147" s="3"/>
      <c r="C147" s="3"/>
      <c r="D147" s="3"/>
      <c r="E147" s="3"/>
      <c r="F147" s="3"/>
      <c r="G147" s="3"/>
    </row>
    <row r="148" spans="2:7" ht="15.75" customHeight="1" x14ac:dyDescent="0.35">
      <c r="B148" s="3"/>
      <c r="C148" s="3"/>
      <c r="D148" s="3"/>
      <c r="E148" s="3"/>
      <c r="F148" s="3"/>
      <c r="G148" s="3"/>
    </row>
    <row r="149" spans="2:7" ht="15.75" customHeight="1" x14ac:dyDescent="0.35">
      <c r="B149" s="3"/>
      <c r="C149" s="3"/>
      <c r="D149" s="3"/>
      <c r="E149" s="3"/>
      <c r="F149" s="3"/>
      <c r="G149" s="3"/>
    </row>
    <row r="150" spans="2:7" ht="15.75" customHeight="1" x14ac:dyDescent="0.35">
      <c r="B150" s="3"/>
      <c r="C150" s="3"/>
      <c r="D150" s="3"/>
      <c r="E150" s="3"/>
      <c r="F150" s="3"/>
      <c r="G150" s="3"/>
    </row>
    <row r="151" spans="2:7" ht="15.75" customHeight="1" x14ac:dyDescent="0.35">
      <c r="B151" s="3"/>
      <c r="C151" s="3"/>
      <c r="D151" s="3"/>
      <c r="E151" s="3"/>
      <c r="F151" s="3"/>
      <c r="G151" s="3"/>
    </row>
    <row r="152" spans="2:7" ht="15.75" customHeight="1" x14ac:dyDescent="0.35">
      <c r="B152" s="3"/>
      <c r="C152" s="3"/>
      <c r="D152" s="3"/>
      <c r="E152" s="3"/>
      <c r="F152" s="3"/>
      <c r="G152" s="3"/>
    </row>
    <row r="153" spans="2:7" ht="15.75" customHeight="1" x14ac:dyDescent="0.35">
      <c r="B153" s="3"/>
      <c r="C153" s="3"/>
      <c r="D153" s="3"/>
      <c r="E153" s="3"/>
      <c r="F153" s="3"/>
      <c r="G153" s="3"/>
    </row>
    <row r="154" spans="2:7" ht="15.75" customHeight="1" x14ac:dyDescent="0.35">
      <c r="B154" s="3"/>
      <c r="C154" s="3"/>
      <c r="D154" s="3"/>
      <c r="E154" s="3"/>
      <c r="F154" s="3"/>
      <c r="G154" s="3"/>
    </row>
    <row r="155" spans="2:7" ht="15.75" customHeight="1" x14ac:dyDescent="0.35">
      <c r="B155" s="3"/>
      <c r="C155" s="3"/>
      <c r="D155" s="3"/>
      <c r="E155" s="3"/>
      <c r="F155" s="3"/>
      <c r="G155" s="3"/>
    </row>
    <row r="156" spans="2:7" ht="15.75" customHeight="1" x14ac:dyDescent="0.35">
      <c r="B156" s="3"/>
      <c r="C156" s="3"/>
      <c r="D156" s="3"/>
      <c r="E156" s="3"/>
      <c r="F156" s="3"/>
      <c r="G156" s="3"/>
    </row>
    <row r="157" spans="2:7" ht="15.75" customHeight="1" x14ac:dyDescent="0.35">
      <c r="B157" s="3"/>
      <c r="C157" s="3"/>
      <c r="D157" s="3"/>
      <c r="E157" s="3"/>
      <c r="F157" s="3"/>
      <c r="G157" s="3"/>
    </row>
    <row r="158" spans="2:7" ht="15.75" customHeight="1" x14ac:dyDescent="0.35">
      <c r="B158" s="3"/>
      <c r="C158" s="3"/>
      <c r="D158" s="3"/>
      <c r="E158" s="3"/>
      <c r="F158" s="3"/>
      <c r="G158" s="3"/>
    </row>
    <row r="159" spans="2:7" ht="15.75" customHeight="1" x14ac:dyDescent="0.35">
      <c r="B159" s="3"/>
      <c r="C159" s="3"/>
      <c r="D159" s="3"/>
      <c r="E159" s="3"/>
      <c r="F159" s="3"/>
      <c r="G159" s="3"/>
    </row>
    <row r="160" spans="2:7" ht="15.75" customHeight="1" x14ac:dyDescent="0.35">
      <c r="B160" s="3"/>
      <c r="C160" s="3"/>
      <c r="D160" s="3"/>
      <c r="E160" s="3"/>
      <c r="F160" s="3"/>
      <c r="G160" s="3"/>
    </row>
    <row r="161" spans="2:7" ht="15.75" customHeight="1" x14ac:dyDescent="0.35">
      <c r="B161" s="3"/>
      <c r="C161" s="3"/>
      <c r="D161" s="3"/>
      <c r="E161" s="3"/>
      <c r="F161" s="3"/>
      <c r="G161" s="3"/>
    </row>
    <row r="162" spans="2:7" ht="15.75" customHeight="1" x14ac:dyDescent="0.35">
      <c r="B162" s="3"/>
      <c r="C162" s="3"/>
      <c r="D162" s="3"/>
      <c r="E162" s="3"/>
      <c r="F162" s="3"/>
      <c r="G162" s="3"/>
    </row>
    <row r="163" spans="2:7" ht="15.75" customHeight="1" x14ac:dyDescent="0.35">
      <c r="B163" s="3"/>
      <c r="C163" s="3"/>
      <c r="D163" s="3"/>
      <c r="E163" s="3"/>
      <c r="F163" s="3"/>
      <c r="G163" s="3"/>
    </row>
    <row r="164" spans="2:7" ht="15.75" customHeight="1" x14ac:dyDescent="0.35">
      <c r="B164" s="3"/>
      <c r="C164" s="3"/>
      <c r="D164" s="3"/>
      <c r="E164" s="3"/>
      <c r="F164" s="3"/>
      <c r="G164" s="3"/>
    </row>
    <row r="165" spans="2:7" ht="15.75" customHeight="1" x14ac:dyDescent="0.35">
      <c r="B165" s="3"/>
      <c r="C165" s="3"/>
      <c r="D165" s="3"/>
      <c r="E165" s="3"/>
      <c r="F165" s="3"/>
      <c r="G165" s="3"/>
    </row>
    <row r="166" spans="2:7" ht="15.75" customHeight="1" x14ac:dyDescent="0.35">
      <c r="B166" s="3"/>
      <c r="C166" s="3"/>
      <c r="D166" s="3"/>
      <c r="E166" s="3"/>
      <c r="F166" s="3"/>
      <c r="G166" s="3"/>
    </row>
    <row r="167" spans="2:7" ht="15.75" customHeight="1" x14ac:dyDescent="0.35">
      <c r="B167" s="3"/>
      <c r="C167" s="3"/>
      <c r="D167" s="3"/>
      <c r="E167" s="3"/>
      <c r="F167" s="3"/>
      <c r="G167" s="3"/>
    </row>
    <row r="168" spans="2:7" ht="15.75" customHeight="1" x14ac:dyDescent="0.35">
      <c r="B168" s="3"/>
      <c r="C168" s="3"/>
      <c r="D168" s="3"/>
      <c r="E168" s="3"/>
      <c r="F168" s="3"/>
      <c r="G168" s="3"/>
    </row>
    <row r="169" spans="2:7" ht="15.75" customHeight="1" x14ac:dyDescent="0.35">
      <c r="B169" s="3"/>
      <c r="C169" s="3"/>
      <c r="D169" s="3"/>
      <c r="E169" s="3"/>
      <c r="F169" s="3"/>
      <c r="G169" s="3"/>
    </row>
    <row r="170" spans="2:7" ht="15.75" customHeight="1" x14ac:dyDescent="0.35">
      <c r="B170" s="3"/>
      <c r="C170" s="3"/>
      <c r="D170" s="3"/>
      <c r="E170" s="3"/>
      <c r="F170" s="3"/>
      <c r="G170" s="3"/>
    </row>
    <row r="171" spans="2:7" ht="15.75" customHeight="1" x14ac:dyDescent="0.35">
      <c r="B171" s="3"/>
      <c r="C171" s="3"/>
      <c r="D171" s="3"/>
      <c r="E171" s="3"/>
      <c r="F171" s="3"/>
      <c r="G171" s="3"/>
    </row>
    <row r="172" spans="2:7" ht="15.75" customHeight="1" x14ac:dyDescent="0.35">
      <c r="B172" s="3"/>
      <c r="C172" s="3"/>
      <c r="D172" s="3"/>
      <c r="E172" s="3"/>
      <c r="F172" s="3"/>
      <c r="G172" s="3"/>
    </row>
    <row r="173" spans="2:7" ht="15.75" customHeight="1" x14ac:dyDescent="0.35">
      <c r="B173" s="3"/>
      <c r="C173" s="3"/>
      <c r="D173" s="3"/>
      <c r="E173" s="3"/>
      <c r="F173" s="3"/>
      <c r="G173" s="3"/>
    </row>
    <row r="174" spans="2:7" ht="15.75" customHeight="1" x14ac:dyDescent="0.35">
      <c r="B174" s="3"/>
      <c r="C174" s="3"/>
      <c r="D174" s="3"/>
      <c r="E174" s="3"/>
      <c r="F174" s="3"/>
      <c r="G174" s="3"/>
    </row>
    <row r="175" spans="2:7" ht="15.75" customHeight="1" x14ac:dyDescent="0.35">
      <c r="B175" s="3"/>
      <c r="C175" s="3"/>
      <c r="D175" s="3"/>
      <c r="E175" s="3"/>
      <c r="F175" s="3"/>
      <c r="G175" s="3"/>
    </row>
    <row r="176" spans="2:7" ht="15.75" customHeight="1" x14ac:dyDescent="0.35">
      <c r="B176" s="3"/>
      <c r="C176" s="3"/>
      <c r="D176" s="3"/>
      <c r="E176" s="3"/>
      <c r="F176" s="3"/>
      <c r="G176" s="3"/>
    </row>
    <row r="177" spans="2:7" ht="15.75" customHeight="1" x14ac:dyDescent="0.35">
      <c r="B177" s="3"/>
      <c r="C177" s="3"/>
      <c r="D177" s="3"/>
      <c r="E177" s="3"/>
      <c r="F177" s="3"/>
      <c r="G177" s="3"/>
    </row>
    <row r="178" spans="2:7" ht="15.75" customHeight="1" x14ac:dyDescent="0.35">
      <c r="B178" s="3"/>
      <c r="C178" s="3"/>
      <c r="D178" s="3"/>
      <c r="E178" s="3"/>
      <c r="F178" s="3"/>
      <c r="G178" s="3"/>
    </row>
    <row r="179" spans="2:7" ht="15.75" customHeight="1" x14ac:dyDescent="0.35">
      <c r="B179" s="3"/>
      <c r="C179" s="3"/>
      <c r="D179" s="3"/>
      <c r="E179" s="3"/>
      <c r="F179" s="3"/>
      <c r="G179" s="3"/>
    </row>
    <row r="180" spans="2:7" ht="15.75" customHeight="1" x14ac:dyDescent="0.35">
      <c r="B180" s="3"/>
      <c r="C180" s="3"/>
      <c r="D180" s="3"/>
      <c r="E180" s="3"/>
      <c r="F180" s="3"/>
      <c r="G180" s="3"/>
    </row>
    <row r="181" spans="2:7" ht="15.75" customHeight="1" x14ac:dyDescent="0.35">
      <c r="B181" s="3"/>
      <c r="C181" s="3"/>
      <c r="D181" s="3"/>
      <c r="E181" s="3"/>
      <c r="F181" s="3"/>
      <c r="G181" s="3"/>
    </row>
    <row r="182" spans="2:7" ht="15.75" customHeight="1" x14ac:dyDescent="0.35">
      <c r="B182" s="3"/>
      <c r="C182" s="3"/>
      <c r="D182" s="3"/>
      <c r="E182" s="3"/>
      <c r="F182" s="3"/>
      <c r="G182" s="3"/>
    </row>
    <row r="183" spans="2:7" ht="15.75" customHeight="1" x14ac:dyDescent="0.35">
      <c r="B183" s="3"/>
      <c r="C183" s="3"/>
      <c r="D183" s="3"/>
      <c r="E183" s="3"/>
      <c r="F183" s="3"/>
      <c r="G183" s="3"/>
    </row>
    <row r="184" spans="2:7" ht="15.75" customHeight="1" x14ac:dyDescent="0.35">
      <c r="B184" s="3"/>
      <c r="C184" s="3"/>
      <c r="D184" s="3"/>
      <c r="E184" s="3"/>
      <c r="F184" s="3"/>
      <c r="G184" s="3"/>
    </row>
    <row r="185" spans="2:7" ht="15.75" customHeight="1" x14ac:dyDescent="0.35">
      <c r="B185" s="3"/>
      <c r="C185" s="3"/>
      <c r="D185" s="3"/>
      <c r="E185" s="3"/>
      <c r="F185" s="3"/>
      <c r="G185" s="3"/>
    </row>
    <row r="186" spans="2:7" ht="15.75" customHeight="1" x14ac:dyDescent="0.35">
      <c r="B186" s="3"/>
      <c r="C186" s="3"/>
      <c r="D186" s="3"/>
      <c r="E186" s="3"/>
      <c r="F186" s="3"/>
      <c r="G186" s="3"/>
    </row>
    <row r="187" spans="2:7" ht="15.75" customHeight="1" x14ac:dyDescent="0.35">
      <c r="B187" s="3"/>
      <c r="C187" s="3"/>
      <c r="D187" s="3"/>
      <c r="E187" s="3"/>
      <c r="F187" s="3"/>
      <c r="G187" s="3"/>
    </row>
    <row r="188" spans="2:7" ht="15.75" customHeight="1" x14ac:dyDescent="0.35">
      <c r="B188" s="3"/>
      <c r="C188" s="3"/>
      <c r="D188" s="3"/>
      <c r="E188" s="3"/>
      <c r="F188" s="3"/>
      <c r="G188" s="3"/>
    </row>
    <row r="189" spans="2:7" ht="15.75" customHeight="1" x14ac:dyDescent="0.35">
      <c r="B189" s="3"/>
      <c r="C189" s="3"/>
      <c r="D189" s="3"/>
      <c r="E189" s="3"/>
      <c r="F189" s="3"/>
      <c r="G189" s="3"/>
    </row>
    <row r="190" spans="2:7" ht="15.75" customHeight="1" x14ac:dyDescent="0.35">
      <c r="B190" s="3"/>
      <c r="C190" s="3"/>
      <c r="D190" s="3"/>
      <c r="E190" s="3"/>
      <c r="F190" s="3"/>
      <c r="G190" s="3"/>
    </row>
    <row r="191" spans="2:7" ht="15.75" customHeight="1" x14ac:dyDescent="0.35">
      <c r="B191" s="3"/>
      <c r="C191" s="3"/>
      <c r="D191" s="3"/>
      <c r="E191" s="3"/>
      <c r="F191" s="3"/>
      <c r="G191" s="3"/>
    </row>
    <row r="192" spans="2:7" ht="15.75" customHeight="1" x14ac:dyDescent="0.35">
      <c r="B192" s="3"/>
      <c r="C192" s="3"/>
      <c r="D192" s="3"/>
      <c r="E192" s="3"/>
      <c r="F192" s="3"/>
      <c r="G192" s="3"/>
    </row>
    <row r="193" spans="2:7" ht="15.75" customHeight="1" x14ac:dyDescent="0.35">
      <c r="B193" s="3"/>
      <c r="C193" s="3"/>
      <c r="D193" s="3"/>
      <c r="E193" s="3"/>
      <c r="F193" s="3"/>
      <c r="G193" s="3"/>
    </row>
    <row r="194" spans="2:7" ht="15.75" customHeight="1" x14ac:dyDescent="0.35">
      <c r="B194" s="3"/>
      <c r="C194" s="3"/>
      <c r="D194" s="3"/>
      <c r="E194" s="3"/>
      <c r="F194" s="3"/>
      <c r="G194" s="3"/>
    </row>
    <row r="195" spans="2:7" ht="15.75" customHeight="1" x14ac:dyDescent="0.35">
      <c r="B195" s="3"/>
      <c r="C195" s="3"/>
      <c r="D195" s="3"/>
      <c r="E195" s="3"/>
      <c r="F195" s="3"/>
      <c r="G195" s="3"/>
    </row>
    <row r="196" spans="2:7" ht="15.75" customHeight="1" x14ac:dyDescent="0.35">
      <c r="B196" s="3"/>
      <c r="C196" s="3"/>
      <c r="D196" s="3"/>
      <c r="E196" s="3"/>
      <c r="F196" s="3"/>
      <c r="G196" s="3"/>
    </row>
    <row r="197" spans="2:7" ht="15.75" customHeight="1" x14ac:dyDescent="0.35">
      <c r="B197" s="3"/>
      <c r="C197" s="3"/>
      <c r="D197" s="3"/>
      <c r="E197" s="3"/>
      <c r="F197" s="3"/>
      <c r="G197" s="3"/>
    </row>
    <row r="198" spans="2:7" ht="15.75" customHeight="1" x14ac:dyDescent="0.35">
      <c r="B198" s="3"/>
      <c r="C198" s="3"/>
      <c r="D198" s="3"/>
      <c r="E198" s="3"/>
      <c r="F198" s="3"/>
      <c r="G198" s="3"/>
    </row>
    <row r="199" spans="2:7" ht="15.75" customHeight="1" x14ac:dyDescent="0.35">
      <c r="B199" s="3"/>
      <c r="C199" s="3"/>
      <c r="D199" s="3"/>
      <c r="E199" s="3"/>
      <c r="F199" s="3"/>
      <c r="G199" s="3"/>
    </row>
    <row r="200" spans="2:7" ht="15.75" customHeight="1" x14ac:dyDescent="0.35">
      <c r="B200" s="3"/>
      <c r="C200" s="3"/>
      <c r="D200" s="3"/>
      <c r="E200" s="3"/>
      <c r="F200" s="3"/>
      <c r="G200" s="3"/>
    </row>
    <row r="201" spans="2:7" ht="15.75" customHeight="1" x14ac:dyDescent="0.35">
      <c r="B201" s="3"/>
      <c r="C201" s="3"/>
      <c r="D201" s="3"/>
      <c r="E201" s="3"/>
      <c r="F201" s="3"/>
      <c r="G201" s="3"/>
    </row>
    <row r="202" spans="2:7" ht="15.75" customHeight="1" x14ac:dyDescent="0.35">
      <c r="B202" s="3"/>
      <c r="C202" s="3"/>
      <c r="D202" s="3"/>
      <c r="E202" s="3"/>
      <c r="F202" s="3"/>
      <c r="G202" s="3"/>
    </row>
    <row r="203" spans="2:7" ht="15.75" customHeight="1" x14ac:dyDescent="0.35"/>
    <row r="204" spans="2:7" ht="15.75" customHeight="1" x14ac:dyDescent="0.35"/>
    <row r="205" spans="2:7" ht="15.75" customHeight="1" x14ac:dyDescent="0.35"/>
    <row r="206" spans="2:7" ht="15.75" customHeight="1" x14ac:dyDescent="0.35"/>
    <row r="207" spans="2:7" ht="15.75" customHeight="1" x14ac:dyDescent="0.35"/>
    <row r="208" spans="2:7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</sheetData>
  <mergeCells count="11">
    <mergeCell ref="A1:N1"/>
    <mergeCell ref="J12:K12"/>
    <mergeCell ref="H70:H76"/>
    <mergeCell ref="H78:H84"/>
    <mergeCell ref="H34:H47"/>
    <mergeCell ref="H22:H30"/>
    <mergeCell ref="H49:H52"/>
    <mergeCell ref="H54:H61"/>
    <mergeCell ref="H63:H67"/>
    <mergeCell ref="D18:F18"/>
    <mergeCell ref="I15:M15"/>
  </mergeCells>
  <phoneticPr fontId="7" type="noConversion"/>
  <conditionalFormatting sqref="F20:F24">
    <cfRule type="cellIs" dxfId="19" priority="75" operator="greaterThan">
      <formula>0</formula>
    </cfRule>
    <cfRule type="cellIs" dxfId="18" priority="76" operator="lessThan">
      <formula>0</formula>
    </cfRule>
  </conditionalFormatting>
  <conditionalFormatting sqref="F26:F30">
    <cfRule type="cellIs" dxfId="17" priority="63" operator="greaterThan">
      <formula>0</formula>
    </cfRule>
    <cfRule type="cellIs" dxfId="16" priority="64" operator="lessThan">
      <formula>0</formula>
    </cfRule>
  </conditionalFormatting>
  <conditionalFormatting sqref="F32:F36">
    <cfRule type="cellIs" dxfId="15" priority="39" operator="greaterThan">
      <formula>0</formula>
    </cfRule>
    <cfRule type="cellIs" dxfId="14" priority="40" operator="lessThan">
      <formula>0</formula>
    </cfRule>
  </conditionalFormatting>
  <conditionalFormatting sqref="F38:F42">
    <cfRule type="cellIs" dxfId="13" priority="37" operator="greaterThan">
      <formula>0</formula>
    </cfRule>
    <cfRule type="cellIs" dxfId="12" priority="38" operator="lessThan">
      <formula>0</formula>
    </cfRule>
  </conditionalFormatting>
  <conditionalFormatting sqref="F44:F63">
    <cfRule type="cellIs" dxfId="11" priority="35" operator="greaterThan">
      <formula>0</formula>
    </cfRule>
    <cfRule type="cellIs" dxfId="10" priority="36" operator="lessThan">
      <formula>0</formula>
    </cfRule>
  </conditionalFormatting>
  <conditionalFormatting sqref="F65:F74">
    <cfRule type="cellIs" dxfId="9" priority="25" operator="greaterThan">
      <formula>0</formula>
    </cfRule>
    <cfRule type="cellIs" dxfId="8" priority="26" operator="lessThan">
      <formula>0</formula>
    </cfRule>
  </conditionalFormatting>
  <conditionalFormatting sqref="F76:F89">
    <cfRule type="cellIs" dxfId="7" priority="15" operator="greaterThan">
      <formula>0</formula>
    </cfRule>
    <cfRule type="cellIs" dxfId="6" priority="16" operator="lessThan">
      <formula>0</formula>
    </cfRule>
  </conditionalFormatting>
  <conditionalFormatting sqref="F91:F95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F96:G97">
    <cfRule type="cellIs" dxfId="3" priority="59" operator="greaterThan">
      <formula>0</formula>
    </cfRule>
    <cfRule type="cellIs" dxfId="2" priority="60" operator="lessThan">
      <formula>0</formula>
    </cfRule>
  </conditionalFormatting>
  <conditionalFormatting sqref="M18:M48">
    <cfRule type="cellIs" dxfId="1" priority="1" operator="greaterThan">
      <formula>0</formula>
    </cfRule>
    <cfRule type="cellIs" dxfId="0" priority="2" operator="lessThan">
      <formula>0</formula>
    </cfRule>
  </conditionalFormatting>
  <hyperlinks>
    <hyperlink ref="D18:F18" location="Receitas!A1" display="Ver lançamentos" xr:uid="{7613E0DB-03DB-4074-90BD-16DEA12C25D8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L10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3124-861A-43F0-840F-6470BCA6494D}">
  <dimension ref="A1:B59"/>
  <sheetViews>
    <sheetView workbookViewId="0">
      <selection activeCell="G15" sqref="G15"/>
    </sheetView>
  </sheetViews>
  <sheetFormatPr defaultRowHeight="15.5" x14ac:dyDescent="0.35"/>
  <cols>
    <col min="1" max="1" width="34.5" bestFit="1" customWidth="1"/>
    <col min="2" max="2" width="40.1640625" bestFit="1" customWidth="1"/>
  </cols>
  <sheetData>
    <row r="1" spans="1:2" x14ac:dyDescent="0.35">
      <c r="A1" s="75" t="s">
        <v>4</v>
      </c>
      <c r="B1" s="88" t="s">
        <v>0</v>
      </c>
    </row>
    <row r="2" spans="1:2" x14ac:dyDescent="0.35">
      <c r="A2" s="22" t="str">
        <f>+'Orçado x Realizado'!B20</f>
        <v>Comunidade Amar e Servir - BA</v>
      </c>
      <c r="B2" s="16" t="str">
        <f>+'Orçado x Realizado'!I18</f>
        <v>Anuidade CNLB</v>
      </c>
    </row>
    <row r="3" spans="1:2" x14ac:dyDescent="0.35">
      <c r="A3" s="22" t="str">
        <f>+'Orçado x Realizado'!B21</f>
        <v>Comunidade Nossa Senhora Aparecida</v>
      </c>
      <c r="B3" s="16" t="str">
        <f>+'Orçado x Realizado'!I19</f>
        <v>Anuidade CVX Mundial</v>
      </c>
    </row>
    <row r="4" spans="1:2" x14ac:dyDescent="0.35">
      <c r="A4" s="22" t="str">
        <f>+'Orçado x Realizado'!B22</f>
        <v>Comunidade Santíssima Trindade</v>
      </c>
      <c r="B4" s="16" t="str">
        <f>+'Orçado x Realizado'!I20</f>
        <v>Assinaturas (StreamYard, Zoom, Publicações, Site...)</v>
      </c>
    </row>
    <row r="5" spans="1:2" x14ac:dyDescent="0.35">
      <c r="A5" s="22" t="str">
        <f>+'Orçado x Realizado'!B23</f>
        <v>Comunidade Vida e Esperança</v>
      </c>
      <c r="B5" s="16" t="str">
        <f>+'Orçado x Realizado'!I21</f>
        <v>Cartório e correios</v>
      </c>
    </row>
    <row r="6" spans="1:2" x14ac:dyDescent="0.35">
      <c r="A6" s="22" t="str">
        <f>+'Orçado x Realizado'!B26</f>
        <v>Comunidade Dom Luciano</v>
      </c>
      <c r="B6" s="16" t="str">
        <f>+'Orçado x Realizado'!I22</f>
        <v>Contabilidade</v>
      </c>
    </row>
    <row r="7" spans="1:2" x14ac:dyDescent="0.35">
      <c r="A7" s="22" t="str">
        <f>+'Orçado x Realizado'!B27</f>
        <v>Comunidade Padre Iglesias</v>
      </c>
      <c r="B7" s="16" t="str">
        <f>+'Orçado x Realizado'!I23</f>
        <v>Despesas bancárias</v>
      </c>
    </row>
    <row r="8" spans="1:2" x14ac:dyDescent="0.35">
      <c r="A8" s="22" t="str">
        <f>+'Orçado x Realizado'!B28</f>
        <v>Comunidade Santo Alberto Hurtado</v>
      </c>
      <c r="B8" s="16" t="str">
        <f>+'Orçado x Realizado'!I24</f>
        <v>Impostos e taxas</v>
      </c>
    </row>
    <row r="9" spans="1:2" x14ac:dyDescent="0.35">
      <c r="A9" s="22" t="str">
        <f>+'Orçado x Realizado'!B29</f>
        <v>Comunidade São José</v>
      </c>
      <c r="B9" s="16" t="str">
        <f>+'Orçado x Realizado'!I25</f>
        <v>Participações presenciais da CEN em eventos regionais</v>
      </c>
    </row>
    <row r="10" spans="1:2" x14ac:dyDescent="0.35">
      <c r="A10" s="22" t="str">
        <f>+'Orçado x Realizado'!B32</f>
        <v>Comunidade Maria</v>
      </c>
      <c r="B10" s="16" t="str">
        <f>+'Orçado x Realizado'!I26</f>
        <v>Repasse para as Instâncias Regionais</v>
      </c>
    </row>
    <row r="11" spans="1:2" x14ac:dyDescent="0.35">
      <c r="A11" s="22" t="str">
        <f>+'Orçado x Realizado'!B33</f>
        <v>Comunidade Santa Rafaela Maria</v>
      </c>
      <c r="B11" s="16" t="str">
        <f>+'Orçado x Realizado'!I27</f>
        <v>Reuniões Conselho Ampliado</v>
      </c>
    </row>
    <row r="12" spans="1:2" x14ac:dyDescent="0.35">
      <c r="A12" s="22" t="str">
        <f>+'Orçado x Realizado'!B34</f>
        <v>Comunidade São Francisco Xavier</v>
      </c>
      <c r="B12" s="16" t="str">
        <f>+'Orçado x Realizado'!I28</f>
        <v>Reuniões Coordenação Executiva</v>
      </c>
    </row>
    <row r="13" spans="1:2" x14ac:dyDescent="0.35">
      <c r="A13" s="22" t="str">
        <f>+'Orçado x Realizado'!B35</f>
        <v>Comunidade São Paulo Apóstolo</v>
      </c>
      <c r="B13" s="16" t="str">
        <f>+'Orçado x Realizado'!I29</f>
        <v>Representações institucionais (ex.: Assembleia CNLB)</v>
      </c>
    </row>
    <row r="14" spans="1:2" x14ac:dyDescent="0.35">
      <c r="A14" s="22" t="str">
        <f>+'Orçado x Realizado'!B38</f>
        <v>Comunidade Fé e Vida</v>
      </c>
      <c r="B14" s="16" t="str">
        <f>+'Orçado x Realizado'!I33</f>
        <v>Encontro Global de Formação (ExCo)</v>
      </c>
    </row>
    <row r="15" spans="1:2" x14ac:dyDescent="0.35">
      <c r="A15" s="22" t="str">
        <f>+'Orçado x Realizado'!B39</f>
        <v>Comunidade Profeta Peregrino</v>
      </c>
      <c r="B15" s="16" t="str">
        <f>+'Orçado x Realizado'!I34</f>
        <v>Encontro Internacional das Famílias (CVX-E)</v>
      </c>
    </row>
    <row r="16" spans="1:2" x14ac:dyDescent="0.35">
      <c r="A16" s="22" t="str">
        <f>+'Orçado x Realizado'!B40</f>
        <v>Comunidade Santa Tereza Couderc</v>
      </c>
      <c r="B16" s="16" t="str">
        <f>+'Orçado x Realizado'!I35</f>
        <v>Jornada Mundial das Juventudes (Companhia de Jesus)</v>
      </c>
    </row>
    <row r="17" spans="1:2" x14ac:dyDescent="0.35">
      <c r="A17" s="22" t="str">
        <f>+'Orçado x Realizado'!B41</f>
        <v>Comunidade Santo Inácio de Loyola</v>
      </c>
      <c r="B17" s="16" t="str">
        <f>+'Orçado x Realizado'!I36</f>
        <v>Magis VI (CENAL)</v>
      </c>
    </row>
    <row r="18" spans="1:2" x14ac:dyDescent="0.35">
      <c r="A18" s="22" t="str">
        <f>+'Orçado x Realizado'!B44</f>
        <v>Comunidade Amar e Servir - RJ</v>
      </c>
      <c r="B18" s="16" t="str">
        <f>+'Orçado x Realizado'!I37</f>
        <v>Outras formações (CAP1, CAP2, EoF, etc)</v>
      </c>
    </row>
    <row r="19" spans="1:2" x14ac:dyDescent="0.35">
      <c r="A19" s="22" t="str">
        <f>+'Orçado x Realizado'!B45</f>
        <v>Comunidade Aprendizes do Coração de Jesus</v>
      </c>
      <c r="B19" s="16" t="str">
        <f>+'Orçado x Realizado'!I40</f>
        <v>Apoio a participação em retiros de final de semana</v>
      </c>
    </row>
    <row r="20" spans="1:2" x14ac:dyDescent="0.35">
      <c r="A20" s="22" t="str">
        <f>+'Orçado x Realizado'!B46</f>
        <v>Comunidade Cristo Redentor</v>
      </c>
      <c r="B20" s="16" t="str">
        <f>+'Orçado x Realizado'!I41</f>
        <v>Apoio a participação em retiros de 8 dias</v>
      </c>
    </row>
    <row r="21" spans="1:2" x14ac:dyDescent="0.35">
      <c r="A21" s="22" t="str">
        <f>+'Orçado x Realizado'!B47</f>
        <v xml:space="preserve">Comunidade Dom Helder Camara </v>
      </c>
      <c r="B21" s="16" t="str">
        <f>+'Orçado x Realizado'!I42</f>
        <v>Apoio a participação em retiros de 30 dias</v>
      </c>
    </row>
    <row r="22" spans="1:2" x14ac:dyDescent="0.35">
      <c r="A22" s="22" t="str">
        <f>+'Orçado x Realizado'!B48</f>
        <v>Comunidade Fé e Vida São Francisco Xavier</v>
      </c>
      <c r="B22" s="16" t="str">
        <f>+'Orçado x Realizado'!I45</f>
        <v>Acordo de cooperação com SJMR</v>
      </c>
    </row>
    <row r="23" spans="1:2" x14ac:dyDescent="0.35">
      <c r="A23" s="22" t="str">
        <f>+'Orçado x Realizado'!B49</f>
        <v>Comunidade Inácio Peregrino</v>
      </c>
      <c r="B23" s="16" t="str">
        <f>+'Orçado x Realizado'!I46</f>
        <v>Doação para obras da CVX Mundial</v>
      </c>
    </row>
    <row r="24" spans="1:2" x14ac:dyDescent="0.35">
      <c r="A24" s="22" t="str">
        <f>+'Orçado x Realizado'!B50</f>
        <v>Comunidade Maria Arca da Aliança</v>
      </c>
      <c r="B24" s="16" t="str">
        <f>+'Orçado x Realizado'!I47</f>
        <v>Financiamento de obras da CVX nas Regionais</v>
      </c>
    </row>
    <row r="25" spans="1:2" x14ac:dyDescent="0.35">
      <c r="A25" s="22" t="str">
        <f>+'Orçado x Realizado'!B51</f>
        <v>Comunidade Maria Mãe da Esperança</v>
      </c>
    </row>
    <row r="26" spans="1:2" x14ac:dyDescent="0.35">
      <c r="A26" s="22" t="str">
        <f>+'Orçado x Realizado'!B52</f>
        <v>Comunidade Maria Porta do Céu</v>
      </c>
    </row>
    <row r="27" spans="1:2" x14ac:dyDescent="0.35">
      <c r="A27" s="22" t="str">
        <f>+'Orçado x Realizado'!B53</f>
        <v>Comunidade Nossa Senhora da Luz</v>
      </c>
    </row>
    <row r="28" spans="1:2" x14ac:dyDescent="0.35">
      <c r="A28" s="22" t="str">
        <f>+'Orçado x Realizado'!B54</f>
        <v>Comunidade Nossa Senhora da Paz</v>
      </c>
    </row>
    <row r="29" spans="1:2" x14ac:dyDescent="0.35">
      <c r="A29" s="22" t="str">
        <f>+'Orçado x Realizado'!B55</f>
        <v>Comunidade Nossa Senhora de Fátima</v>
      </c>
    </row>
    <row r="30" spans="1:2" x14ac:dyDescent="0.35">
      <c r="A30" s="22" t="str">
        <f>+'Orçado x Realizado'!B56</f>
        <v>Comunidade Nossa Senhora de Nazaré</v>
      </c>
    </row>
    <row r="31" spans="1:2" x14ac:dyDescent="0.35">
      <c r="A31" s="22" t="str">
        <f>+'Orçado x Realizado'!B57</f>
        <v>Comunidade Nossa Senhora de Montserrat - RJ</v>
      </c>
    </row>
    <row r="32" spans="1:2" x14ac:dyDescent="0.35">
      <c r="A32" s="22" t="str">
        <f>+'Orçado x Realizado'!B58</f>
        <v>Comunidade Peregrinos da Esperança</v>
      </c>
    </row>
    <row r="33" spans="1:1" x14ac:dyDescent="0.35">
      <c r="A33" s="22" t="str">
        <f>+'Orçado x Realizado'!B59</f>
        <v>Comunidade São José de Anchieta - RJ</v>
      </c>
    </row>
    <row r="34" spans="1:1" x14ac:dyDescent="0.35">
      <c r="A34" s="22" t="str">
        <f>+'Orçado x Realizado'!B60</f>
        <v>Comunidade São Marcos</v>
      </c>
    </row>
    <row r="35" spans="1:1" x14ac:dyDescent="0.35">
      <c r="A35" s="22" t="str">
        <f>+'Orçado x Realizado'!B61</f>
        <v>Comunidade Shalom</v>
      </c>
    </row>
    <row r="36" spans="1:1" x14ac:dyDescent="0.35">
      <c r="A36" s="22" t="str">
        <f>+'Orçado x Realizado'!B62</f>
        <v>Comunidade Virgem Oferente</v>
      </c>
    </row>
    <row r="37" spans="1:1" x14ac:dyDescent="0.35">
      <c r="A37" s="22" t="str">
        <f>+'Orçado x Realizado'!B65</f>
        <v>Comunidade A Caminho</v>
      </c>
    </row>
    <row r="38" spans="1:1" x14ac:dyDescent="0.35">
      <c r="A38" s="22" t="str">
        <f>+'Orçado x Realizado'!B66</f>
        <v>Comunidade Cardoner</v>
      </c>
    </row>
    <row r="39" spans="1:1" x14ac:dyDescent="0.35">
      <c r="A39" s="22" t="str">
        <f>+'Orçado x Realizado'!B67</f>
        <v>Comunidade CVXavier</v>
      </c>
    </row>
    <row r="40" spans="1:1" x14ac:dyDescent="0.35">
      <c r="A40" s="22" t="str">
        <f>+'Orçado x Realizado'!B68</f>
        <v>Comunidade MCL</v>
      </c>
    </row>
    <row r="41" spans="1:1" x14ac:dyDescent="0.35">
      <c r="A41" s="22" t="str">
        <f>+'Orçado x Realizado'!B69</f>
        <v>Comunidade Nazaré</v>
      </c>
    </row>
    <row r="42" spans="1:1" x14ac:dyDescent="0.35">
      <c r="A42" s="22" t="str">
        <f>+'Orçado x Realizado'!B70</f>
        <v>Comunidade Nossa Senhora da Estrada - SP</v>
      </c>
    </row>
    <row r="43" spans="1:1" x14ac:dyDescent="0.35">
      <c r="A43" s="22" t="str">
        <f>+'Orçado x Realizado'!B71</f>
        <v>Comunidade Nossa Senhora de Montserrat - SP</v>
      </c>
    </row>
    <row r="44" spans="1:1" x14ac:dyDescent="0.35">
      <c r="A44" s="22" t="str">
        <f>+'Orçado x Realizado'!B72</f>
        <v>Comunidade Peregrino</v>
      </c>
    </row>
    <row r="45" spans="1:1" x14ac:dyDescent="0.35">
      <c r="A45" s="22" t="str">
        <f>+'Orçado x Realizado'!B73</f>
        <v>Comunidade Santa Maria</v>
      </c>
    </row>
    <row r="46" spans="1:1" x14ac:dyDescent="0.35">
      <c r="A46" s="22" t="str">
        <f>+'Orçado x Realizado'!B76</f>
        <v>Comunidade Coração Imaculado de Maria</v>
      </c>
    </row>
    <row r="47" spans="1:1" x14ac:dyDescent="0.35">
      <c r="A47" s="22" t="str">
        <f>+'Orçado x Realizado'!B77</f>
        <v>Comunidade Esperança</v>
      </c>
    </row>
    <row r="48" spans="1:1" x14ac:dyDescent="0.35">
      <c r="A48" s="22" t="str">
        <f>+'Orçado x Realizado'!B78</f>
        <v>Comunidade Francisco</v>
      </c>
    </row>
    <row r="49" spans="1:1" x14ac:dyDescent="0.35">
      <c r="A49" s="22" t="str">
        <f>+'Orçado x Realizado'!B79</f>
        <v>Comunidade Nossa Senhora da Estrada - Sul</v>
      </c>
    </row>
    <row r="50" spans="1:1" x14ac:dyDescent="0.35">
      <c r="A50" s="22" t="str">
        <f>+'Orçado x Realizado'!B80</f>
        <v>Comunidade Nossa Senhora da Luz dos Pinhais</v>
      </c>
    </row>
    <row r="51" spans="1:1" x14ac:dyDescent="0.35">
      <c r="A51" s="22" t="str">
        <f>+'Orçado x Realizado'!B81</f>
        <v>Comunidade Nossa Senhora Medianeira</v>
      </c>
    </row>
    <row r="52" spans="1:1" x14ac:dyDescent="0.35">
      <c r="A52" s="22" t="str">
        <f>+'Orçado x Realizado'!B82</f>
        <v>Comunidade Nova Aliança</v>
      </c>
    </row>
    <row r="53" spans="1:1" x14ac:dyDescent="0.35">
      <c r="A53" s="22" t="str">
        <f>+'Orçado x Realizado'!B83</f>
        <v>Comunidade Santo André</v>
      </c>
    </row>
    <row r="54" spans="1:1" x14ac:dyDescent="0.35">
      <c r="A54" s="22" t="str">
        <f>+'Orçado x Realizado'!B84</f>
        <v>Comunidade Santo Estanislau Kostka</v>
      </c>
    </row>
    <row r="55" spans="1:1" x14ac:dyDescent="0.35">
      <c r="A55" s="22" t="str">
        <f>+'Orçado x Realizado'!B85</f>
        <v>Comunidade São José de Anchieta - Sul</v>
      </c>
    </row>
    <row r="56" spans="1:1" x14ac:dyDescent="0.35">
      <c r="A56" s="22" t="str">
        <f>+'Orçado x Realizado'!B91</f>
        <v>Doações</v>
      </c>
    </row>
    <row r="57" spans="1:1" x14ac:dyDescent="0.35">
      <c r="A57" s="22" t="str">
        <f>+'Orçado x Realizado'!B92</f>
        <v>Dia de Santo Inácio</v>
      </c>
    </row>
    <row r="58" spans="1:1" x14ac:dyDescent="0.35">
      <c r="A58" s="22" t="str">
        <f>+'Orçado x Realizado'!B93</f>
        <v>Rendimentos de Aplicação Financeira</v>
      </c>
    </row>
    <row r="59" spans="1:1" x14ac:dyDescent="0.35">
      <c r="A59" s="22" t="str">
        <f>+'Orçado x Realizado'!B94</f>
        <v>Venda de produtos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3920-7F67-4E41-8870-93B29E82285B}">
  <sheetPr>
    <tabColor theme="8" tint="-0.249977111117893"/>
  </sheetPr>
  <dimension ref="A1:F47"/>
  <sheetViews>
    <sheetView workbookViewId="0">
      <pane ySplit="1" topLeftCell="A2" activePane="bottomLeft" state="frozen"/>
      <selection activeCell="C3" sqref="C3"/>
      <selection pane="bottomLeft" activeCell="C3" sqref="C3"/>
    </sheetView>
  </sheetViews>
  <sheetFormatPr defaultRowHeight="15.5" x14ac:dyDescent="0.35"/>
  <cols>
    <col min="1" max="1" width="2.4140625" customWidth="1"/>
    <col min="2" max="2" width="12.9140625" customWidth="1"/>
    <col min="3" max="4" width="40.83203125" customWidth="1"/>
    <col min="5" max="5" width="19.25" customWidth="1"/>
    <col min="6" max="6" width="17.58203125" customWidth="1"/>
  </cols>
  <sheetData>
    <row r="1" spans="1:6" x14ac:dyDescent="0.35">
      <c r="A1" s="5"/>
      <c r="B1" s="40" t="s">
        <v>91</v>
      </c>
      <c r="C1" s="40" t="s">
        <v>101</v>
      </c>
      <c r="D1" s="40" t="s">
        <v>100</v>
      </c>
      <c r="E1" s="40" t="s">
        <v>92</v>
      </c>
      <c r="F1" s="5"/>
    </row>
    <row r="2" spans="1:6" x14ac:dyDescent="0.35">
      <c r="A2" s="5"/>
      <c r="B2" s="53"/>
      <c r="C2" s="53"/>
      <c r="D2" s="53"/>
      <c r="E2" s="54"/>
      <c r="F2" s="5"/>
    </row>
    <row r="3" spans="1:6" x14ac:dyDescent="0.35">
      <c r="A3" s="5"/>
      <c r="B3" s="53"/>
      <c r="C3" s="53"/>
      <c r="D3" s="53"/>
      <c r="E3" s="54"/>
      <c r="F3" s="5"/>
    </row>
    <row r="4" spans="1:6" x14ac:dyDescent="0.35">
      <c r="A4" s="5"/>
      <c r="B4" s="53"/>
      <c r="C4" s="53"/>
      <c r="D4" s="53"/>
      <c r="E4" s="54"/>
      <c r="F4" s="5"/>
    </row>
    <row r="5" spans="1:6" x14ac:dyDescent="0.35">
      <c r="A5" s="5"/>
      <c r="B5" s="53"/>
      <c r="C5" s="53"/>
      <c r="D5" s="53"/>
      <c r="E5" s="54"/>
      <c r="F5" s="5"/>
    </row>
    <row r="6" spans="1:6" x14ac:dyDescent="0.35">
      <c r="A6" s="5"/>
      <c r="B6" s="53"/>
      <c r="C6" s="53"/>
      <c r="D6" s="53"/>
      <c r="E6" s="54"/>
      <c r="F6" s="5"/>
    </row>
    <row r="7" spans="1:6" x14ac:dyDescent="0.35">
      <c r="A7" s="5"/>
      <c r="B7" s="53"/>
      <c r="C7" s="53"/>
      <c r="D7" s="53"/>
      <c r="E7" s="54"/>
      <c r="F7" s="5"/>
    </row>
    <row r="8" spans="1:6" x14ac:dyDescent="0.35">
      <c r="A8" s="5"/>
      <c r="B8" s="53"/>
      <c r="C8" s="53"/>
      <c r="D8" s="53"/>
      <c r="E8" s="54"/>
      <c r="F8" s="5"/>
    </row>
    <row r="9" spans="1:6" x14ac:dyDescent="0.35">
      <c r="A9" s="5"/>
      <c r="B9" s="53"/>
      <c r="C9" s="53"/>
      <c r="D9" s="53"/>
      <c r="E9" s="54"/>
      <c r="F9" s="5"/>
    </row>
    <row r="10" spans="1:6" x14ac:dyDescent="0.35">
      <c r="A10" s="5"/>
      <c r="B10" s="53"/>
      <c r="C10" s="53"/>
      <c r="D10" s="53"/>
      <c r="E10" s="54"/>
      <c r="F10" s="5"/>
    </row>
    <row r="11" spans="1:6" x14ac:dyDescent="0.35">
      <c r="A11" s="5"/>
      <c r="B11" s="53"/>
      <c r="C11" s="53"/>
      <c r="D11" s="53"/>
      <c r="E11" s="54"/>
      <c r="F11" s="5"/>
    </row>
    <row r="12" spans="1:6" x14ac:dyDescent="0.35">
      <c r="A12" s="5"/>
      <c r="B12" s="53"/>
      <c r="C12" s="53"/>
      <c r="D12" s="53"/>
      <c r="E12" s="54"/>
      <c r="F12" s="5"/>
    </row>
    <row r="13" spans="1:6" x14ac:dyDescent="0.35">
      <c r="A13" s="5"/>
      <c r="B13" s="53"/>
      <c r="C13" s="53"/>
      <c r="D13" s="53"/>
      <c r="E13" s="54"/>
      <c r="F13" s="5"/>
    </row>
    <row r="14" spans="1:6" x14ac:dyDescent="0.35">
      <c r="A14" s="5"/>
      <c r="B14" s="53"/>
      <c r="C14" s="53"/>
      <c r="D14" s="53"/>
      <c r="E14" s="54"/>
      <c r="F14" s="5"/>
    </row>
    <row r="15" spans="1:6" x14ac:dyDescent="0.35">
      <c r="A15" s="5"/>
      <c r="B15" s="53"/>
      <c r="C15" s="53"/>
      <c r="D15" s="53"/>
      <c r="E15" s="54"/>
      <c r="F15" s="5"/>
    </row>
    <row r="16" spans="1:6" x14ac:dyDescent="0.35">
      <c r="A16" s="5"/>
      <c r="B16" s="53"/>
      <c r="C16" s="53"/>
      <c r="D16" s="53"/>
      <c r="E16" s="54"/>
      <c r="F16" s="5"/>
    </row>
    <row r="17" spans="1:6" x14ac:dyDescent="0.35">
      <c r="A17" s="5"/>
      <c r="B17" s="53"/>
      <c r="C17" s="53"/>
      <c r="D17" s="53"/>
      <c r="E17" s="54"/>
      <c r="F17" s="5"/>
    </row>
    <row r="18" spans="1:6" x14ac:dyDescent="0.35">
      <c r="A18" s="5"/>
      <c r="B18" s="53"/>
      <c r="C18" s="53"/>
      <c r="D18" s="53"/>
      <c r="E18" s="54"/>
      <c r="F18" s="5"/>
    </row>
    <row r="19" spans="1:6" x14ac:dyDescent="0.35">
      <c r="A19" s="5"/>
      <c r="B19" s="53"/>
      <c r="C19" s="53"/>
      <c r="D19" s="53"/>
      <c r="E19" s="54"/>
      <c r="F19" s="5"/>
    </row>
    <row r="20" spans="1:6" x14ac:dyDescent="0.35">
      <c r="A20" s="5"/>
      <c r="B20" s="53"/>
      <c r="C20" s="53"/>
      <c r="D20" s="53"/>
      <c r="E20" s="54"/>
      <c r="F20" s="5"/>
    </row>
    <row r="21" spans="1:6" x14ac:dyDescent="0.35">
      <c r="A21" s="5"/>
      <c r="B21" s="53"/>
      <c r="C21" s="53"/>
      <c r="D21" s="53"/>
      <c r="E21" s="54"/>
      <c r="F21" s="5"/>
    </row>
    <row r="22" spans="1:6" x14ac:dyDescent="0.35">
      <c r="A22" s="5"/>
      <c r="B22" s="53"/>
      <c r="C22" s="53"/>
      <c r="D22" s="53"/>
      <c r="E22" s="54"/>
      <c r="F22" s="5"/>
    </row>
    <row r="23" spans="1:6" x14ac:dyDescent="0.35">
      <c r="A23" s="5"/>
      <c r="B23" s="53"/>
      <c r="C23" s="53"/>
      <c r="D23" s="53"/>
      <c r="E23" s="54"/>
      <c r="F23" s="5"/>
    </row>
    <row r="24" spans="1:6" x14ac:dyDescent="0.35">
      <c r="A24" s="5"/>
      <c r="B24" s="53"/>
      <c r="C24" s="53"/>
      <c r="D24" s="53"/>
      <c r="E24" s="54"/>
      <c r="F24" s="5"/>
    </row>
    <row r="25" spans="1:6" x14ac:dyDescent="0.35">
      <c r="A25" s="5"/>
      <c r="B25" s="53"/>
      <c r="C25" s="53"/>
      <c r="D25" s="53"/>
      <c r="E25" s="54"/>
      <c r="F25" s="5"/>
    </row>
    <row r="26" spans="1:6" x14ac:dyDescent="0.35">
      <c r="A26" s="5"/>
      <c r="B26" s="53"/>
      <c r="C26" s="53"/>
      <c r="D26" s="53"/>
      <c r="E26" s="54"/>
      <c r="F26" s="5"/>
    </row>
    <row r="27" spans="1:6" x14ac:dyDescent="0.35">
      <c r="A27" s="5"/>
      <c r="B27" s="53"/>
      <c r="C27" s="53"/>
      <c r="D27" s="53"/>
      <c r="E27" s="54"/>
      <c r="F27" s="5"/>
    </row>
    <row r="28" spans="1:6" x14ac:dyDescent="0.35">
      <c r="A28" s="5"/>
      <c r="B28" s="53"/>
      <c r="C28" s="53"/>
      <c r="D28" s="53"/>
      <c r="E28" s="54"/>
      <c r="F28" s="5"/>
    </row>
    <row r="29" spans="1:6" x14ac:dyDescent="0.35">
      <c r="A29" s="5"/>
      <c r="B29" s="53"/>
      <c r="C29" s="53"/>
      <c r="D29" s="53"/>
      <c r="E29" s="54"/>
      <c r="F29" s="5"/>
    </row>
    <row r="30" spans="1:6" x14ac:dyDescent="0.35">
      <c r="A30" s="5"/>
      <c r="B30" s="53"/>
      <c r="C30" s="53"/>
      <c r="D30" s="53"/>
      <c r="E30" s="54"/>
      <c r="F30" s="5"/>
    </row>
    <row r="31" spans="1:6" x14ac:dyDescent="0.35">
      <c r="A31" s="5"/>
      <c r="B31" s="53"/>
      <c r="C31" s="53"/>
      <c r="D31" s="53"/>
      <c r="E31" s="54"/>
      <c r="F31" s="5"/>
    </row>
    <row r="32" spans="1:6" x14ac:dyDescent="0.35">
      <c r="A32" s="5"/>
      <c r="B32" s="53"/>
      <c r="C32" s="53"/>
      <c r="D32" s="53"/>
      <c r="E32" s="54"/>
      <c r="F32" s="5"/>
    </row>
    <row r="33" spans="1:6" x14ac:dyDescent="0.35">
      <c r="A33" s="5"/>
      <c r="B33" s="53"/>
      <c r="C33" s="53"/>
      <c r="D33" s="53"/>
      <c r="E33" s="54"/>
      <c r="F33" s="5"/>
    </row>
    <row r="34" spans="1:6" x14ac:dyDescent="0.35">
      <c r="A34" s="5"/>
      <c r="B34" s="53"/>
      <c r="C34" s="53"/>
      <c r="D34" s="53"/>
      <c r="E34" s="54"/>
      <c r="F34" s="5"/>
    </row>
    <row r="35" spans="1:6" x14ac:dyDescent="0.35">
      <c r="A35" s="5"/>
      <c r="B35" s="53"/>
      <c r="C35" s="53"/>
      <c r="D35" s="53"/>
      <c r="E35" s="54"/>
      <c r="F35" s="5"/>
    </row>
    <row r="36" spans="1:6" x14ac:dyDescent="0.35">
      <c r="A36" s="5"/>
      <c r="B36" s="53"/>
      <c r="C36" s="53"/>
      <c r="D36" s="53"/>
      <c r="E36" s="54"/>
      <c r="F36" s="5"/>
    </row>
    <row r="37" spans="1:6" x14ac:dyDescent="0.35">
      <c r="A37" s="5"/>
      <c r="B37" s="53"/>
      <c r="C37" s="53"/>
      <c r="D37" s="53"/>
      <c r="E37" s="54"/>
      <c r="F37" s="5"/>
    </row>
    <row r="38" spans="1:6" x14ac:dyDescent="0.35">
      <c r="A38" s="5"/>
      <c r="B38" s="53"/>
      <c r="C38" s="53"/>
      <c r="D38" s="53"/>
      <c r="E38" s="54"/>
      <c r="F38" s="5"/>
    </row>
    <row r="39" spans="1:6" x14ac:dyDescent="0.35">
      <c r="A39" s="5"/>
      <c r="B39" s="53"/>
      <c r="C39" s="53"/>
      <c r="D39" s="53"/>
      <c r="E39" s="54"/>
      <c r="F39" s="5"/>
    </row>
    <row r="40" spans="1:6" x14ac:dyDescent="0.35">
      <c r="A40" s="5"/>
      <c r="B40" s="53"/>
      <c r="C40" s="53"/>
      <c r="D40" s="53"/>
      <c r="E40" s="54"/>
      <c r="F40" s="5"/>
    </row>
    <row r="41" spans="1:6" x14ac:dyDescent="0.35">
      <c r="A41" s="5"/>
      <c r="B41" s="53"/>
      <c r="C41" s="53"/>
      <c r="D41" s="53"/>
      <c r="E41" s="54"/>
      <c r="F41" s="5"/>
    </row>
    <row r="42" spans="1:6" x14ac:dyDescent="0.35">
      <c r="A42" s="5"/>
      <c r="B42" s="53"/>
      <c r="C42" s="53"/>
      <c r="D42" s="53"/>
      <c r="E42" s="54"/>
      <c r="F42" s="5"/>
    </row>
    <row r="43" spans="1:6" x14ac:dyDescent="0.35">
      <c r="A43" s="5"/>
      <c r="B43" s="53"/>
      <c r="C43" s="53"/>
      <c r="D43" s="53"/>
      <c r="E43" s="54"/>
      <c r="F43" s="5"/>
    </row>
    <row r="44" spans="1:6" x14ac:dyDescent="0.35">
      <c r="A44" s="5"/>
      <c r="B44" s="53"/>
      <c r="C44" s="53"/>
      <c r="D44" s="53"/>
      <c r="E44" s="54"/>
      <c r="F44" s="5"/>
    </row>
    <row r="45" spans="1:6" x14ac:dyDescent="0.35">
      <c r="A45" s="5"/>
      <c r="B45" s="53"/>
      <c r="C45" s="53"/>
      <c r="D45" s="53"/>
      <c r="E45" s="54"/>
      <c r="F45" s="5"/>
    </row>
    <row r="46" spans="1:6" x14ac:dyDescent="0.35">
      <c r="A46" s="5"/>
      <c r="B46" s="53"/>
      <c r="C46" s="53"/>
      <c r="D46" s="53"/>
      <c r="E46" s="54"/>
      <c r="F46" s="5"/>
    </row>
    <row r="47" spans="1:6" x14ac:dyDescent="0.35">
      <c r="A47" s="5"/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84B223-60F5-4F88-BDEA-90EA95BA9652}">
          <x14:formula1>
            <xm:f>Listas!$A$2:$A$59</xm:f>
          </x14:formula1>
          <xm:sqref>C2:C46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488DD-A2FE-4F88-AE9D-C50A42923655}">
  <sheetPr>
    <tabColor rgb="FF760000"/>
  </sheetPr>
  <dimension ref="A1:F51"/>
  <sheetViews>
    <sheetView workbookViewId="0">
      <pane ySplit="1" topLeftCell="A2" activePane="bottomLeft" state="frozen"/>
      <selection activeCell="D25" sqref="D25"/>
      <selection pane="bottomLeft" activeCell="C3" sqref="C3"/>
    </sheetView>
  </sheetViews>
  <sheetFormatPr defaultRowHeight="15.5" x14ac:dyDescent="0.35"/>
  <cols>
    <col min="1" max="1" width="2.4140625" customWidth="1"/>
    <col min="2" max="2" width="12.83203125" customWidth="1"/>
    <col min="3" max="4" width="40.83203125" customWidth="1"/>
    <col min="5" max="5" width="19.25" customWidth="1"/>
    <col min="6" max="6" width="17.4140625" customWidth="1"/>
  </cols>
  <sheetData>
    <row r="1" spans="1:6" x14ac:dyDescent="0.35">
      <c r="A1" s="5"/>
      <c r="B1" s="41" t="s">
        <v>91</v>
      </c>
      <c r="C1" s="42" t="s">
        <v>103</v>
      </c>
      <c r="D1" s="42" t="s">
        <v>104</v>
      </c>
      <c r="E1" s="43" t="s">
        <v>92</v>
      </c>
      <c r="F1" s="5"/>
    </row>
    <row r="2" spans="1:6" x14ac:dyDescent="0.35">
      <c r="A2" s="5"/>
      <c r="B2" s="50"/>
      <c r="C2" s="44"/>
      <c r="D2" s="45"/>
      <c r="E2" s="48"/>
      <c r="F2" s="5"/>
    </row>
    <row r="3" spans="1:6" x14ac:dyDescent="0.35">
      <c r="A3" s="5"/>
      <c r="B3" s="51"/>
      <c r="C3" s="46"/>
      <c r="D3" s="47"/>
      <c r="E3" s="49"/>
      <c r="F3" s="5"/>
    </row>
    <row r="4" spans="1:6" x14ac:dyDescent="0.35">
      <c r="A4" s="5"/>
      <c r="B4" s="52"/>
      <c r="C4" s="44"/>
      <c r="D4" s="45"/>
      <c r="E4" s="48"/>
      <c r="F4" s="5"/>
    </row>
    <row r="5" spans="1:6" x14ac:dyDescent="0.35">
      <c r="A5" s="5"/>
      <c r="B5" s="51"/>
      <c r="C5" s="46"/>
      <c r="D5" s="47"/>
      <c r="E5" s="49"/>
      <c r="F5" s="5"/>
    </row>
    <row r="6" spans="1:6" x14ac:dyDescent="0.35">
      <c r="A6" s="5"/>
      <c r="B6" s="52"/>
      <c r="C6" s="44"/>
      <c r="D6" s="45"/>
      <c r="E6" s="48"/>
      <c r="F6" s="5"/>
    </row>
    <row r="7" spans="1:6" x14ac:dyDescent="0.35">
      <c r="A7" s="5"/>
      <c r="B7" s="51"/>
      <c r="C7" s="46"/>
      <c r="D7" s="47"/>
      <c r="E7" s="49"/>
      <c r="F7" s="5"/>
    </row>
    <row r="8" spans="1:6" x14ac:dyDescent="0.35">
      <c r="A8" s="5"/>
      <c r="B8" s="52"/>
      <c r="C8" s="44"/>
      <c r="D8" s="45"/>
      <c r="E8" s="48"/>
      <c r="F8" s="5"/>
    </row>
    <row r="9" spans="1:6" x14ac:dyDescent="0.35">
      <c r="A9" s="5"/>
      <c r="B9" s="51"/>
      <c r="C9" s="46"/>
      <c r="D9" s="47"/>
      <c r="E9" s="49"/>
      <c r="F9" s="5"/>
    </row>
    <row r="10" spans="1:6" x14ac:dyDescent="0.35">
      <c r="A10" s="5"/>
      <c r="B10" s="52"/>
      <c r="C10" s="44"/>
      <c r="D10" s="45"/>
      <c r="E10" s="48"/>
      <c r="F10" s="5"/>
    </row>
    <row r="11" spans="1:6" x14ac:dyDescent="0.35">
      <c r="A11" s="5"/>
      <c r="B11" s="51"/>
      <c r="C11" s="46"/>
      <c r="D11" s="47"/>
      <c r="E11" s="49"/>
      <c r="F11" s="5"/>
    </row>
    <row r="12" spans="1:6" x14ac:dyDescent="0.35">
      <c r="A12" s="5"/>
      <c r="B12" s="52"/>
      <c r="C12" s="44"/>
      <c r="D12" s="45"/>
      <c r="E12" s="48"/>
      <c r="F12" s="5"/>
    </row>
    <row r="13" spans="1:6" x14ac:dyDescent="0.35">
      <c r="A13" s="5"/>
      <c r="B13" s="51"/>
      <c r="C13" s="46"/>
      <c r="D13" s="47"/>
      <c r="E13" s="49"/>
      <c r="F13" s="5"/>
    </row>
    <row r="14" spans="1:6" x14ac:dyDescent="0.35">
      <c r="A14" s="5"/>
      <c r="B14" s="52"/>
      <c r="C14" s="44"/>
      <c r="D14" s="45"/>
      <c r="E14" s="48"/>
      <c r="F14" s="5"/>
    </row>
    <row r="15" spans="1:6" x14ac:dyDescent="0.35">
      <c r="A15" s="5"/>
      <c r="B15" s="51"/>
      <c r="C15" s="46"/>
      <c r="D15" s="47"/>
      <c r="E15" s="49"/>
      <c r="F15" s="5"/>
    </row>
    <row r="16" spans="1:6" x14ac:dyDescent="0.35">
      <c r="A16" s="5"/>
      <c r="B16" s="52"/>
      <c r="C16" s="44"/>
      <c r="D16" s="45"/>
      <c r="E16" s="48"/>
      <c r="F16" s="5"/>
    </row>
    <row r="17" spans="1:6" x14ac:dyDescent="0.35">
      <c r="A17" s="5"/>
      <c r="B17" s="51"/>
      <c r="C17" s="46"/>
      <c r="D17" s="47"/>
      <c r="E17" s="49"/>
      <c r="F17" s="5"/>
    </row>
    <row r="18" spans="1:6" x14ac:dyDescent="0.35">
      <c r="A18" s="5"/>
      <c r="B18" s="52"/>
      <c r="C18" s="44"/>
      <c r="D18" s="45"/>
      <c r="E18" s="48"/>
      <c r="F18" s="5"/>
    </row>
    <row r="19" spans="1:6" x14ac:dyDescent="0.35">
      <c r="A19" s="5"/>
      <c r="B19" s="51"/>
      <c r="C19" s="46"/>
      <c r="D19" s="47"/>
      <c r="E19" s="49"/>
      <c r="F19" s="5"/>
    </row>
    <row r="20" spans="1:6" x14ac:dyDescent="0.35">
      <c r="A20" s="5"/>
      <c r="B20" s="52"/>
      <c r="C20" s="44"/>
      <c r="D20" s="45"/>
      <c r="E20" s="48"/>
      <c r="F20" s="5"/>
    </row>
    <row r="21" spans="1:6" x14ac:dyDescent="0.35">
      <c r="A21" s="5"/>
      <c r="B21" s="51"/>
      <c r="C21" s="46"/>
      <c r="D21" s="47"/>
      <c r="E21" s="49"/>
      <c r="F21" s="5"/>
    </row>
    <row r="22" spans="1:6" x14ac:dyDescent="0.35">
      <c r="A22" s="5"/>
      <c r="B22" s="52"/>
      <c r="C22" s="44"/>
      <c r="D22" s="45"/>
      <c r="E22" s="48"/>
      <c r="F22" s="5"/>
    </row>
    <row r="23" spans="1:6" x14ac:dyDescent="0.35">
      <c r="A23" s="5"/>
      <c r="B23" s="51"/>
      <c r="C23" s="46"/>
      <c r="D23" s="47"/>
      <c r="E23" s="49"/>
      <c r="F23" s="5"/>
    </row>
    <row r="24" spans="1:6" x14ac:dyDescent="0.35">
      <c r="A24" s="5"/>
      <c r="B24" s="52"/>
      <c r="C24" s="44"/>
      <c r="D24" s="45"/>
      <c r="E24" s="48"/>
      <c r="F24" s="5"/>
    </row>
    <row r="25" spans="1:6" x14ac:dyDescent="0.35">
      <c r="A25" s="5"/>
      <c r="B25" s="51"/>
      <c r="C25" s="46"/>
      <c r="D25" s="47"/>
      <c r="E25" s="49"/>
      <c r="F25" s="5"/>
    </row>
    <row r="26" spans="1:6" x14ac:dyDescent="0.35">
      <c r="A26" s="5"/>
      <c r="B26" s="52"/>
      <c r="C26" s="44"/>
      <c r="D26" s="45"/>
      <c r="E26" s="48"/>
      <c r="F26" s="5"/>
    </row>
    <row r="27" spans="1:6" x14ac:dyDescent="0.35">
      <c r="A27" s="5"/>
      <c r="B27" s="51"/>
      <c r="C27" s="46"/>
      <c r="D27" s="47"/>
      <c r="E27" s="49"/>
      <c r="F27" s="5"/>
    </row>
    <row r="28" spans="1:6" x14ac:dyDescent="0.35">
      <c r="A28" s="5"/>
      <c r="B28" s="52"/>
      <c r="C28" s="44"/>
      <c r="D28" s="45"/>
      <c r="E28" s="48"/>
      <c r="F28" s="5"/>
    </row>
    <row r="29" spans="1:6" x14ac:dyDescent="0.35">
      <c r="A29" s="5"/>
      <c r="B29" s="51"/>
      <c r="C29" s="46"/>
      <c r="D29" s="47"/>
      <c r="E29" s="49"/>
      <c r="F29" s="5"/>
    </row>
    <row r="30" spans="1:6" x14ac:dyDescent="0.35">
      <c r="A30" s="5"/>
      <c r="B30" s="52"/>
      <c r="C30" s="44"/>
      <c r="D30" s="45"/>
      <c r="E30" s="48"/>
      <c r="F30" s="5"/>
    </row>
    <row r="31" spans="1:6" x14ac:dyDescent="0.35">
      <c r="A31" s="5"/>
      <c r="B31" s="51"/>
      <c r="C31" s="46"/>
      <c r="D31" s="47"/>
      <c r="E31" s="49"/>
      <c r="F31" s="5"/>
    </row>
    <row r="32" spans="1:6" x14ac:dyDescent="0.35">
      <c r="A32" s="5"/>
      <c r="B32" s="52"/>
      <c r="C32" s="44"/>
      <c r="D32" s="45"/>
      <c r="E32" s="48"/>
      <c r="F32" s="5"/>
    </row>
    <row r="33" spans="1:6" x14ac:dyDescent="0.35">
      <c r="A33" s="5"/>
      <c r="B33" s="51"/>
      <c r="C33" s="46"/>
      <c r="D33" s="47"/>
      <c r="E33" s="49"/>
      <c r="F33" s="5"/>
    </row>
    <row r="34" spans="1:6" x14ac:dyDescent="0.35">
      <c r="A34" s="5"/>
      <c r="B34" s="52"/>
      <c r="C34" s="44"/>
      <c r="D34" s="45"/>
      <c r="E34" s="48"/>
      <c r="F34" s="5"/>
    </row>
    <row r="35" spans="1:6" x14ac:dyDescent="0.35">
      <c r="A35" s="5"/>
      <c r="B35" s="51"/>
      <c r="C35" s="46"/>
      <c r="D35" s="47"/>
      <c r="E35" s="49"/>
      <c r="F35" s="5"/>
    </row>
    <row r="36" spans="1:6" x14ac:dyDescent="0.35">
      <c r="A36" s="5"/>
      <c r="B36" s="52"/>
      <c r="C36" s="44"/>
      <c r="D36" s="45"/>
      <c r="E36" s="48"/>
      <c r="F36" s="5"/>
    </row>
    <row r="37" spans="1:6" x14ac:dyDescent="0.35">
      <c r="A37" s="5"/>
      <c r="B37" s="51"/>
      <c r="C37" s="46"/>
      <c r="D37" s="47"/>
      <c r="E37" s="49"/>
      <c r="F37" s="5"/>
    </row>
    <row r="38" spans="1:6" x14ac:dyDescent="0.35">
      <c r="A38" s="5"/>
      <c r="B38" s="52"/>
      <c r="C38" s="44"/>
      <c r="D38" s="45"/>
      <c r="E38" s="48"/>
      <c r="F38" s="5"/>
    </row>
    <row r="39" spans="1:6" x14ac:dyDescent="0.35">
      <c r="A39" s="5"/>
      <c r="B39" s="51"/>
      <c r="C39" s="46"/>
      <c r="D39" s="47"/>
      <c r="E39" s="49"/>
      <c r="F39" s="5"/>
    </row>
    <row r="40" spans="1:6" x14ac:dyDescent="0.35">
      <c r="A40" s="5"/>
      <c r="B40" s="52"/>
      <c r="C40" s="44"/>
      <c r="D40" s="45"/>
      <c r="E40" s="48"/>
      <c r="F40" s="5"/>
    </row>
    <row r="41" spans="1:6" x14ac:dyDescent="0.35">
      <c r="A41" s="5"/>
      <c r="B41" s="51"/>
      <c r="C41" s="46"/>
      <c r="D41" s="47"/>
      <c r="E41" s="49"/>
      <c r="F41" s="5"/>
    </row>
    <row r="42" spans="1:6" x14ac:dyDescent="0.35">
      <c r="A42" s="5"/>
      <c r="B42" s="52"/>
      <c r="C42" s="44"/>
      <c r="D42" s="45"/>
      <c r="E42" s="48"/>
      <c r="F42" s="5"/>
    </row>
    <row r="43" spans="1:6" x14ac:dyDescent="0.35">
      <c r="A43" s="5"/>
      <c r="B43" s="51"/>
      <c r="C43" s="46"/>
      <c r="D43" s="47"/>
      <c r="E43" s="49"/>
      <c r="F43" s="5"/>
    </row>
    <row r="44" spans="1:6" x14ac:dyDescent="0.35">
      <c r="A44" s="5"/>
      <c r="B44" s="52"/>
      <c r="C44" s="44"/>
      <c r="D44" s="45"/>
      <c r="E44" s="48"/>
      <c r="F44" s="5"/>
    </row>
    <row r="45" spans="1:6" x14ac:dyDescent="0.35">
      <c r="A45" s="5"/>
      <c r="B45" s="51"/>
      <c r="C45" s="46"/>
      <c r="D45" s="47"/>
      <c r="E45" s="49"/>
      <c r="F45" s="5"/>
    </row>
    <row r="46" spans="1:6" x14ac:dyDescent="0.35">
      <c r="A46" s="5"/>
      <c r="B46" s="52"/>
      <c r="C46" s="44"/>
      <c r="D46" s="45"/>
      <c r="E46" s="48"/>
      <c r="F46" s="5"/>
    </row>
    <row r="47" spans="1:6" x14ac:dyDescent="0.35">
      <c r="A47" s="5"/>
      <c r="B47" s="51"/>
      <c r="C47" s="46"/>
      <c r="D47" s="47"/>
      <c r="E47" s="49"/>
      <c r="F47" s="5"/>
    </row>
    <row r="48" spans="1:6" x14ac:dyDescent="0.35">
      <c r="B48" s="52"/>
      <c r="C48" s="44"/>
      <c r="D48" s="45"/>
      <c r="E48" s="48"/>
      <c r="F48" s="5"/>
    </row>
    <row r="49" spans="2:6" x14ac:dyDescent="0.35">
      <c r="B49" s="51"/>
      <c r="C49" s="46"/>
      <c r="D49" s="47"/>
      <c r="E49" s="49"/>
      <c r="F49" s="5"/>
    </row>
    <row r="50" spans="2:6" x14ac:dyDescent="0.35">
      <c r="B50" s="52"/>
      <c r="C50" s="44"/>
      <c r="D50" s="45"/>
      <c r="E50" s="48"/>
      <c r="F50" s="5"/>
    </row>
    <row r="51" spans="2:6" x14ac:dyDescent="0.35">
      <c r="B51" s="51"/>
      <c r="C51" s="46"/>
      <c r="D51" s="47"/>
      <c r="E51" s="49"/>
      <c r="F51" s="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6D800F-64C6-4E08-9D3A-268A3A7889B9}">
          <x14:formula1>
            <xm:f>Listas!$B$2:$B$26</xm:f>
          </x14:formula1>
          <xm:sqref>C2:C51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0132-EB34-433E-BA69-A722CE212EC9}">
  <dimension ref="B1:L48"/>
  <sheetViews>
    <sheetView zoomScale="85" zoomScaleNormal="85" workbookViewId="0">
      <selection activeCell="Q29" sqref="Q29"/>
    </sheetView>
  </sheetViews>
  <sheetFormatPr defaultRowHeight="15.5" x14ac:dyDescent="0.35"/>
  <cols>
    <col min="1" max="1" width="3.5" style="193" customWidth="1"/>
    <col min="2" max="2" width="18.75" style="193" customWidth="1"/>
    <col min="3" max="3" width="14.33203125" style="193" customWidth="1"/>
    <col min="4" max="4" width="3.75" style="193" customWidth="1"/>
    <col min="5" max="5" width="46.58203125" style="193" customWidth="1"/>
    <col min="6" max="6" width="14.33203125" style="193" bestFit="1" customWidth="1"/>
    <col min="7" max="7" width="15.25" style="193" bestFit="1" customWidth="1"/>
    <col min="8" max="8" width="20.58203125" style="193" bestFit="1" customWidth="1"/>
    <col min="9" max="9" width="6" style="194" bestFit="1" customWidth="1"/>
    <col min="10" max="10" width="8.6640625" style="195" customWidth="1"/>
    <col min="11" max="11" width="8.6640625" style="193"/>
    <col min="12" max="12" width="13.25" style="193" bestFit="1" customWidth="1"/>
    <col min="13" max="16384" width="8.6640625" style="193"/>
  </cols>
  <sheetData>
    <row r="1" spans="2:10" ht="16" thickBot="1" x14ac:dyDescent="0.4"/>
    <row r="2" spans="2:10" x14ac:dyDescent="0.35">
      <c r="B2" s="196" t="s">
        <v>121</v>
      </c>
      <c r="C2" s="197">
        <v>23085.91</v>
      </c>
      <c r="E2" s="198" t="s">
        <v>124</v>
      </c>
      <c r="F2" s="199" t="s">
        <v>125</v>
      </c>
      <c r="G2" s="199" t="s">
        <v>126</v>
      </c>
      <c r="H2" s="200" t="s">
        <v>127</v>
      </c>
      <c r="I2" s="201" t="s">
        <v>179</v>
      </c>
      <c r="J2" s="202" t="s">
        <v>152</v>
      </c>
    </row>
    <row r="3" spans="2:10" x14ac:dyDescent="0.35">
      <c r="B3" s="203"/>
      <c r="C3" s="204"/>
      <c r="E3" s="205" t="s">
        <v>123</v>
      </c>
      <c r="F3" s="206">
        <v>132353</v>
      </c>
      <c r="G3" s="207">
        <v>60673.009999999995</v>
      </c>
      <c r="H3" s="208">
        <f>+G3*3</f>
        <v>182019.02999999997</v>
      </c>
      <c r="I3" s="209">
        <f>+H3/$H$6</f>
        <v>0.64293837472422777</v>
      </c>
      <c r="J3" s="195" t="s">
        <v>153</v>
      </c>
    </row>
    <row r="4" spans="2:10" x14ac:dyDescent="0.35">
      <c r="B4" s="203"/>
      <c r="C4" s="204"/>
      <c r="E4" s="205" t="s">
        <v>132</v>
      </c>
      <c r="F4" s="206">
        <v>6801.11</v>
      </c>
      <c r="G4" s="207">
        <v>8667.4500000000007</v>
      </c>
      <c r="H4" s="208">
        <v>0</v>
      </c>
      <c r="I4" s="209">
        <f t="shared" ref="I4:I5" si="0">+H4/$H$6</f>
        <v>0</v>
      </c>
      <c r="J4" s="195" t="s">
        <v>154</v>
      </c>
    </row>
    <row r="5" spans="2:10" ht="16" thickBot="1" x14ac:dyDescent="0.4">
      <c r="B5" s="203"/>
      <c r="C5" s="204"/>
      <c r="E5" s="210" t="s">
        <v>146</v>
      </c>
      <c r="F5" s="211">
        <v>0</v>
      </c>
      <c r="G5" s="212">
        <v>0</v>
      </c>
      <c r="H5" s="213">
        <f>+C11+C2-H29</f>
        <v>101085.91</v>
      </c>
      <c r="I5" s="209">
        <f t="shared" si="0"/>
        <v>0.3570616252757724</v>
      </c>
      <c r="J5" s="195" t="s">
        <v>155</v>
      </c>
    </row>
    <row r="6" spans="2:10" ht="16.5" thickTop="1" thickBot="1" x14ac:dyDescent="0.4">
      <c r="B6" s="203"/>
      <c r="C6" s="204"/>
      <c r="E6" s="214" t="s">
        <v>128</v>
      </c>
      <c r="F6" s="215">
        <f>SUM(F3:F5)</f>
        <v>139154.10999999999</v>
      </c>
      <c r="G6" s="215">
        <f>SUM(G3:G5)</f>
        <v>69340.459999999992</v>
      </c>
      <c r="H6" s="216">
        <f>SUM(H3:H5)</f>
        <v>283104.93999999994</v>
      </c>
      <c r="I6" s="217">
        <f>+H6/(H6+H30)</f>
        <v>0.66798390826294174</v>
      </c>
      <c r="J6" s="195" t="s">
        <v>180</v>
      </c>
    </row>
    <row r="7" spans="2:10" ht="5.5" customHeight="1" thickBot="1" x14ac:dyDescent="0.4">
      <c r="B7" s="203"/>
      <c r="C7" s="204"/>
      <c r="E7" s="218"/>
      <c r="F7" s="218"/>
      <c r="G7" s="218"/>
      <c r="H7" s="218"/>
    </row>
    <row r="8" spans="2:10" x14ac:dyDescent="0.35">
      <c r="B8" s="203"/>
      <c r="C8" s="204"/>
      <c r="E8" s="219" t="s">
        <v>130</v>
      </c>
      <c r="F8" s="220" t="s">
        <v>125</v>
      </c>
      <c r="G8" s="220" t="s">
        <v>126</v>
      </c>
      <c r="H8" s="221" t="s">
        <v>127</v>
      </c>
      <c r="I8" s="222" t="s">
        <v>179</v>
      </c>
    </row>
    <row r="9" spans="2:10" ht="16" thickBot="1" x14ac:dyDescent="0.4">
      <c r="B9" s="223"/>
      <c r="C9" s="224"/>
      <c r="E9" s="225" t="s">
        <v>25</v>
      </c>
      <c r="F9" s="226">
        <v>-1192</v>
      </c>
      <c r="G9" s="227">
        <v>-1212</v>
      </c>
      <c r="H9" s="228">
        <f>-1212*1.1</f>
        <v>-1333.2</v>
      </c>
      <c r="I9" s="229">
        <f>+H9/$H$22</f>
        <v>7.9219572411110082E-3</v>
      </c>
      <c r="J9" s="195" t="s">
        <v>156</v>
      </c>
    </row>
    <row r="10" spans="2:10" ht="16" thickBot="1" x14ac:dyDescent="0.4">
      <c r="E10" s="225" t="s">
        <v>26</v>
      </c>
      <c r="F10" s="226">
        <v>-15026</v>
      </c>
      <c r="G10" s="227">
        <v>-11002.04</v>
      </c>
      <c r="H10" s="228">
        <f>+G10*1.1</f>
        <v>-12102.244000000002</v>
      </c>
      <c r="I10" s="229">
        <f t="shared" ref="I10:I21" si="1">+H10/$H$22</f>
        <v>7.1912285845703763E-2</v>
      </c>
      <c r="J10" s="195" t="s">
        <v>156</v>
      </c>
    </row>
    <row r="11" spans="2:10" x14ac:dyDescent="0.35">
      <c r="B11" s="196" t="s">
        <v>122</v>
      </c>
      <c r="C11" s="197">
        <v>161127.06</v>
      </c>
      <c r="E11" s="225" t="s">
        <v>141</v>
      </c>
      <c r="F11" s="226">
        <v>0</v>
      </c>
      <c r="G11" s="227">
        <v>0</v>
      </c>
      <c r="H11" s="228">
        <v>-30000</v>
      </c>
      <c r="I11" s="229">
        <f t="shared" si="1"/>
        <v>0.17826186411140882</v>
      </c>
      <c r="J11" s="195" t="s">
        <v>173</v>
      </c>
    </row>
    <row r="12" spans="2:10" x14ac:dyDescent="0.35">
      <c r="B12" s="203"/>
      <c r="C12" s="204"/>
      <c r="E12" s="225" t="s">
        <v>115</v>
      </c>
      <c r="F12" s="226">
        <f>-2454.33-480</f>
        <v>-2934.33</v>
      </c>
      <c r="G12" s="227">
        <v>-261.47000000000003</v>
      </c>
      <c r="H12" s="228">
        <f>+F12*2</f>
        <v>-5868.66</v>
      </c>
      <c r="I12" s="229">
        <f t="shared" si="1"/>
        <v>3.487194238120201E-2</v>
      </c>
      <c r="J12" s="195" t="s">
        <v>174</v>
      </c>
    </row>
    <row r="13" spans="2:10" x14ac:dyDescent="0.35">
      <c r="B13" s="203"/>
      <c r="C13" s="204"/>
      <c r="E13" s="225" t="s">
        <v>188</v>
      </c>
      <c r="F13" s="226">
        <v>-1100</v>
      </c>
      <c r="G13" s="227">
        <v>-577.62</v>
      </c>
      <c r="H13" s="228">
        <f>+G13*3</f>
        <v>-1732.8600000000001</v>
      </c>
      <c r="I13" s="229">
        <f t="shared" si="1"/>
        <v>1.0296761794803197E-2</v>
      </c>
      <c r="J13" s="195" t="s">
        <v>175</v>
      </c>
    </row>
    <row r="14" spans="2:10" x14ac:dyDescent="0.35">
      <c r="B14" s="203"/>
      <c r="C14" s="204"/>
      <c r="E14" s="225" t="s">
        <v>19</v>
      </c>
      <c r="F14" s="226">
        <v>-8268</v>
      </c>
      <c r="G14" s="227">
        <v>-3600</v>
      </c>
      <c r="H14" s="228">
        <f>+G14*3</f>
        <v>-10800</v>
      </c>
      <c r="I14" s="229">
        <f t="shared" si="1"/>
        <v>6.4174271080107176E-2</v>
      </c>
      <c r="J14" s="195" t="s">
        <v>153</v>
      </c>
    </row>
    <row r="15" spans="2:10" ht="16" thickBot="1" x14ac:dyDescent="0.4">
      <c r="B15" s="223"/>
      <c r="C15" s="224"/>
      <c r="E15" s="225" t="s">
        <v>20</v>
      </c>
      <c r="F15" s="226">
        <v>-4185</v>
      </c>
      <c r="G15" s="227">
        <v>-1864.3400000000001</v>
      </c>
      <c r="H15" s="228">
        <v>-500</v>
      </c>
      <c r="I15" s="229">
        <f t="shared" si="1"/>
        <v>2.9710310685234801E-3</v>
      </c>
      <c r="J15" s="195" t="s">
        <v>158</v>
      </c>
    </row>
    <row r="16" spans="2:10" x14ac:dyDescent="0.35">
      <c r="E16" s="225" t="s">
        <v>21</v>
      </c>
      <c r="F16" s="226">
        <v>-390.76</v>
      </c>
      <c r="G16" s="227">
        <v>-1886.8799999999999</v>
      </c>
      <c r="H16" s="228">
        <v>-500</v>
      </c>
      <c r="I16" s="229">
        <f t="shared" si="1"/>
        <v>2.9710310685234801E-3</v>
      </c>
      <c r="J16" s="195" t="s">
        <v>159</v>
      </c>
    </row>
    <row r="17" spans="5:12" x14ac:dyDescent="0.35">
      <c r="E17" s="225" t="s">
        <v>27</v>
      </c>
      <c r="F17" s="226">
        <v>-11600</v>
      </c>
      <c r="G17" s="227">
        <v>0</v>
      </c>
      <c r="H17" s="228">
        <f>+F17</f>
        <v>-11600</v>
      </c>
      <c r="I17" s="229">
        <f t="shared" si="1"/>
        <v>6.8927920789744745E-2</v>
      </c>
      <c r="J17" s="195" t="s">
        <v>160</v>
      </c>
    </row>
    <row r="18" spans="5:12" x14ac:dyDescent="0.35">
      <c r="E18" s="225" t="s">
        <v>39</v>
      </c>
      <c r="F18" s="226">
        <v>-40148.3293185</v>
      </c>
      <c r="G18" s="227">
        <v>-16169.41</v>
      </c>
      <c r="H18" s="228">
        <f>+G18*3</f>
        <v>-48508.229999999996</v>
      </c>
      <c r="I18" s="229">
        <f t="shared" si="1"/>
        <v>0.28823891681816544</v>
      </c>
      <c r="J18" s="195" t="s">
        <v>153</v>
      </c>
    </row>
    <row r="19" spans="5:12" x14ac:dyDescent="0.35">
      <c r="E19" s="225" t="s">
        <v>24</v>
      </c>
      <c r="F19" s="226">
        <v>-9754.5499999999993</v>
      </c>
      <c r="G19" s="227">
        <v>-8567.09</v>
      </c>
      <c r="H19" s="228">
        <f>+G19</f>
        <v>-8567.09</v>
      </c>
      <c r="I19" s="229">
        <f t="shared" si="1"/>
        <v>5.0906181113673642E-2</v>
      </c>
      <c r="J19" s="195" t="s">
        <v>161</v>
      </c>
    </row>
    <row r="20" spans="5:12" x14ac:dyDescent="0.35">
      <c r="E20" s="225" t="s">
        <v>23</v>
      </c>
      <c r="F20" s="226">
        <f>-5679-4699</f>
        <v>-10378</v>
      </c>
      <c r="G20" s="227">
        <v>-49.86</v>
      </c>
      <c r="H20" s="228">
        <f>+F20*1.5</f>
        <v>-15567</v>
      </c>
      <c r="I20" s="229">
        <f t="shared" si="1"/>
        <v>9.2500081287410038E-2</v>
      </c>
      <c r="J20" s="195" t="s">
        <v>162</v>
      </c>
      <c r="L20" s="230"/>
    </row>
    <row r="21" spans="5:12" ht="16" thickBot="1" x14ac:dyDescent="0.4">
      <c r="E21" s="231" t="s">
        <v>88</v>
      </c>
      <c r="F21" s="232">
        <v>-4400</v>
      </c>
      <c r="G21" s="232">
        <v>-7070.82</v>
      </c>
      <c r="H21" s="233">
        <f>+G21*3</f>
        <v>-21212.46</v>
      </c>
      <c r="I21" s="229">
        <f t="shared" si="1"/>
        <v>0.12604575539962315</v>
      </c>
      <c r="J21" s="195" t="s">
        <v>153</v>
      </c>
      <c r="L21" s="230"/>
    </row>
    <row r="22" spans="5:12" ht="16.5" thickTop="1" thickBot="1" x14ac:dyDescent="0.4">
      <c r="E22" s="234" t="s">
        <v>129</v>
      </c>
      <c r="F22" s="235">
        <f>SUM(F9:F21)</f>
        <v>-109376.96931850001</v>
      </c>
      <c r="G22" s="235">
        <f>SUM(G9:G21)</f>
        <v>-52261.530000000006</v>
      </c>
      <c r="H22" s="236">
        <f>SUM(H9:H21)</f>
        <v>-168291.74400000001</v>
      </c>
      <c r="I22" s="237">
        <f>+H22/(H22+H44)</f>
        <v>0.46790969597156196</v>
      </c>
      <c r="J22" s="195" t="s">
        <v>181</v>
      </c>
      <c r="L22" s="230"/>
    </row>
    <row r="23" spans="5:12" ht="5.5" customHeight="1" thickBot="1" x14ac:dyDescent="0.4">
      <c r="L23" s="230"/>
    </row>
    <row r="24" spans="5:12" ht="16" thickBot="1" x14ac:dyDescent="0.4">
      <c r="E24" s="238" t="s">
        <v>147</v>
      </c>
      <c r="F24" s="239">
        <f>+F6+F22</f>
        <v>29777.140681499979</v>
      </c>
      <c r="G24" s="239">
        <f>+G6+G22</f>
        <v>17078.929999999986</v>
      </c>
      <c r="H24" s="240">
        <f>+H6+H22</f>
        <v>114813.19599999994</v>
      </c>
      <c r="I24" s="195"/>
      <c r="L24" s="230"/>
    </row>
    <row r="25" spans="5:12" ht="16" thickBot="1" x14ac:dyDescent="0.4">
      <c r="L25" s="230"/>
    </row>
    <row r="26" spans="5:12" x14ac:dyDescent="0.35">
      <c r="E26" s="241" t="s">
        <v>131</v>
      </c>
      <c r="F26" s="242" t="s">
        <v>125</v>
      </c>
      <c r="G26" s="242" t="s">
        <v>126</v>
      </c>
      <c r="H26" s="243" t="s">
        <v>127</v>
      </c>
      <c r="I26" s="244" t="s">
        <v>179</v>
      </c>
      <c r="L26" s="230"/>
    </row>
    <row r="27" spans="5:12" x14ac:dyDescent="0.35">
      <c r="E27" s="245" t="s">
        <v>17</v>
      </c>
      <c r="F27" s="246">
        <v>28794</v>
      </c>
      <c r="G27" s="246">
        <v>0</v>
      </c>
      <c r="H27" s="247">
        <f>+F27*2</f>
        <v>57588</v>
      </c>
      <c r="I27" s="248">
        <f>+H27/$H$30</f>
        <v>0.40925257040717605</v>
      </c>
      <c r="J27" s="195" t="s">
        <v>163</v>
      </c>
      <c r="L27" s="230"/>
    </row>
    <row r="28" spans="5:12" x14ac:dyDescent="0.35">
      <c r="E28" s="245" t="s">
        <v>15</v>
      </c>
      <c r="F28" s="246">
        <v>0</v>
      </c>
      <c r="G28" s="246">
        <v>200</v>
      </c>
      <c r="H28" s="247">
        <f>+F28*2</f>
        <v>0</v>
      </c>
      <c r="I28" s="248">
        <f t="shared" ref="I28:I29" si="2">+H28/$H$30</f>
        <v>0</v>
      </c>
      <c r="J28" s="195" t="s">
        <v>164</v>
      </c>
      <c r="L28" s="230"/>
    </row>
    <row r="29" spans="5:12" ht="16" thickBot="1" x14ac:dyDescent="0.4">
      <c r="E29" s="249" t="s">
        <v>145</v>
      </c>
      <c r="F29" s="250">
        <v>0</v>
      </c>
      <c r="G29" s="250">
        <v>0</v>
      </c>
      <c r="H29" s="251">
        <v>83127.06</v>
      </c>
      <c r="I29" s="248">
        <f t="shared" si="2"/>
        <v>0.590747429592824</v>
      </c>
      <c r="L29" s="230"/>
    </row>
    <row r="30" spans="5:12" ht="16.5" thickTop="1" thickBot="1" x14ac:dyDescent="0.4">
      <c r="E30" s="252" t="s">
        <v>133</v>
      </c>
      <c r="F30" s="253">
        <f>SUM(F26:F29)</f>
        <v>28794</v>
      </c>
      <c r="G30" s="253">
        <f t="shared" ref="G30:H30" si="3">SUM(G26:G29)</f>
        <v>200</v>
      </c>
      <c r="H30" s="254">
        <f t="shared" si="3"/>
        <v>140715.06</v>
      </c>
      <c r="I30" s="255">
        <f>+H30/(H30+H6)</f>
        <v>0.33201609173705821</v>
      </c>
      <c r="J30" s="195" t="s">
        <v>182</v>
      </c>
      <c r="L30" s="230"/>
    </row>
    <row r="31" spans="5:12" ht="5.5" customHeight="1" thickBot="1" x14ac:dyDescent="0.4">
      <c r="E31" s="218"/>
      <c r="F31" s="218"/>
      <c r="G31" s="218"/>
      <c r="H31" s="218"/>
      <c r="L31" s="230"/>
    </row>
    <row r="32" spans="5:12" x14ac:dyDescent="0.35">
      <c r="E32" s="256" t="s">
        <v>134</v>
      </c>
      <c r="F32" s="257" t="s">
        <v>125</v>
      </c>
      <c r="G32" s="257" t="s">
        <v>126</v>
      </c>
      <c r="H32" s="258" t="s">
        <v>127</v>
      </c>
      <c r="I32" s="259" t="s">
        <v>179</v>
      </c>
      <c r="L32" s="230"/>
    </row>
    <row r="33" spans="5:12" x14ac:dyDescent="0.35">
      <c r="E33" s="260" t="s">
        <v>142</v>
      </c>
      <c r="F33" s="261">
        <v>0</v>
      </c>
      <c r="G33" s="262">
        <v>0</v>
      </c>
      <c r="H33" s="263">
        <f>-60*750</f>
        <v>-45000</v>
      </c>
      <c r="I33" s="264">
        <f>+H33/$H$44</f>
        <v>0.23513993961606347</v>
      </c>
      <c r="J33" s="195" t="s">
        <v>176</v>
      </c>
      <c r="L33" s="230"/>
    </row>
    <row r="34" spans="5:12" x14ac:dyDescent="0.35">
      <c r="E34" s="260" t="s">
        <v>136</v>
      </c>
      <c r="F34" s="261">
        <v>0</v>
      </c>
      <c r="G34" s="262">
        <v>-2707.5</v>
      </c>
      <c r="H34" s="263">
        <f>-6000*5</f>
        <v>-30000</v>
      </c>
      <c r="I34" s="264">
        <f t="shared" ref="I34:I43" si="4">+H34/$H$44</f>
        <v>0.15675995974404233</v>
      </c>
      <c r="J34" s="195" t="s">
        <v>177</v>
      </c>
      <c r="L34" s="230"/>
    </row>
    <row r="35" spans="5:12" x14ac:dyDescent="0.35">
      <c r="E35" s="260" t="s">
        <v>135</v>
      </c>
      <c r="F35" s="261">
        <v>0</v>
      </c>
      <c r="G35" s="262">
        <f>-1845-10266.23</f>
        <v>-12111.23</v>
      </c>
      <c r="H35" s="263">
        <v>-6000</v>
      </c>
      <c r="I35" s="264">
        <f t="shared" si="4"/>
        <v>3.1351991948808465E-2</v>
      </c>
      <c r="J35" s="195" t="s">
        <v>166</v>
      </c>
      <c r="L35" s="230"/>
    </row>
    <row r="36" spans="5:12" x14ac:dyDescent="0.35">
      <c r="E36" s="260" t="s">
        <v>140</v>
      </c>
      <c r="F36" s="261">
        <v>-12000</v>
      </c>
      <c r="G36" s="262">
        <v>0</v>
      </c>
      <c r="H36" s="263">
        <v>-24000</v>
      </c>
      <c r="I36" s="264">
        <f t="shared" si="4"/>
        <v>0.12540796779523386</v>
      </c>
      <c r="J36" s="195" t="s">
        <v>167</v>
      </c>
      <c r="L36" s="230"/>
    </row>
    <row r="37" spans="5:12" x14ac:dyDescent="0.35">
      <c r="E37" s="265" t="s">
        <v>87</v>
      </c>
      <c r="F37" s="266">
        <v>-2362</v>
      </c>
      <c r="G37" s="267">
        <v>-900</v>
      </c>
      <c r="H37" s="268">
        <f>+G37*3</f>
        <v>-2700</v>
      </c>
      <c r="I37" s="264">
        <f t="shared" si="4"/>
        <v>1.4108396376963808E-2</v>
      </c>
      <c r="J37" s="195" t="s">
        <v>178</v>
      </c>
      <c r="L37" s="230"/>
    </row>
    <row r="38" spans="5:12" x14ac:dyDescent="0.35">
      <c r="E38" s="265" t="s">
        <v>143</v>
      </c>
      <c r="F38" s="266">
        <v>-8000</v>
      </c>
      <c r="G38" s="267">
        <f>-2882.33-2825</f>
        <v>-5707.33</v>
      </c>
      <c r="H38" s="268">
        <v>-16000</v>
      </c>
      <c r="I38" s="264">
        <f t="shared" si="4"/>
        <v>8.360531186348924E-2</v>
      </c>
      <c r="J38" s="195" t="s">
        <v>178</v>
      </c>
      <c r="L38" s="230"/>
    </row>
    <row r="39" spans="5:12" x14ac:dyDescent="0.35">
      <c r="E39" s="260" t="s">
        <v>38</v>
      </c>
      <c r="F39" s="261">
        <v>-24520</v>
      </c>
      <c r="G39" s="262">
        <v>-23973.599999999999</v>
      </c>
      <c r="H39" s="263">
        <f>+F39</f>
        <v>-24520</v>
      </c>
      <c r="I39" s="264">
        <f t="shared" si="4"/>
        <v>0.12812514043079726</v>
      </c>
      <c r="J39" s="195" t="s">
        <v>116</v>
      </c>
      <c r="L39" s="230"/>
    </row>
    <row r="40" spans="5:12" x14ac:dyDescent="0.35">
      <c r="E40" s="260" t="s">
        <v>138</v>
      </c>
      <c r="F40" s="261">
        <v>0</v>
      </c>
      <c r="G40" s="262">
        <v>0</v>
      </c>
      <c r="H40" s="263">
        <v>-7500</v>
      </c>
      <c r="I40" s="264">
        <f t="shared" si="4"/>
        <v>3.9189989936010583E-2</v>
      </c>
      <c r="J40" s="195" t="s">
        <v>168</v>
      </c>
    </row>
    <row r="41" spans="5:12" x14ac:dyDescent="0.35">
      <c r="E41" s="260" t="s">
        <v>137</v>
      </c>
      <c r="F41" s="261">
        <v>0</v>
      </c>
      <c r="G41" s="262">
        <v>-2783.85</v>
      </c>
      <c r="H41" s="263">
        <f>+G41*2</f>
        <v>-5567.7</v>
      </c>
      <c r="I41" s="264">
        <f t="shared" si="4"/>
        <v>2.9093080928896814E-2</v>
      </c>
      <c r="J41" s="195" t="s">
        <v>175</v>
      </c>
    </row>
    <row r="42" spans="5:12" x14ac:dyDescent="0.35">
      <c r="E42" s="260" t="s">
        <v>139</v>
      </c>
      <c r="F42" s="261">
        <v>0</v>
      </c>
      <c r="G42" s="262">
        <v>0</v>
      </c>
      <c r="H42" s="263">
        <f>+H41</f>
        <v>-5567.7</v>
      </c>
      <c r="I42" s="264">
        <f t="shared" si="4"/>
        <v>2.9093080928896814E-2</v>
      </c>
      <c r="J42" s="195" t="s">
        <v>169</v>
      </c>
    </row>
    <row r="43" spans="5:12" ht="16" thickBot="1" x14ac:dyDescent="0.4">
      <c r="E43" s="269" t="s">
        <v>187</v>
      </c>
      <c r="F43" s="270">
        <v>0</v>
      </c>
      <c r="G43" s="271">
        <v>0</v>
      </c>
      <c r="H43" s="272">
        <f>+H39</f>
        <v>-24520</v>
      </c>
      <c r="I43" s="264">
        <f t="shared" si="4"/>
        <v>0.12812514043079726</v>
      </c>
      <c r="J43" s="195" t="s">
        <v>170</v>
      </c>
    </row>
    <row r="44" spans="5:12" ht="16.5" thickTop="1" thickBot="1" x14ac:dyDescent="0.4">
      <c r="E44" s="273" t="s">
        <v>129</v>
      </c>
      <c r="F44" s="274">
        <f>SUM(F33:F43)</f>
        <v>-46882</v>
      </c>
      <c r="G44" s="274">
        <f>SUM(G33:G43)</f>
        <v>-48183.509999999995</v>
      </c>
      <c r="H44" s="275">
        <f>SUM(H33:H43)</f>
        <v>-191375.40000000002</v>
      </c>
      <c r="I44" s="276">
        <f>+H44/(H44+H22)</f>
        <v>0.53209030402843804</v>
      </c>
      <c r="J44" s="195" t="s">
        <v>183</v>
      </c>
    </row>
    <row r="45" spans="5:12" ht="5.5" customHeight="1" thickBot="1" x14ac:dyDescent="0.4">
      <c r="L45" s="230"/>
    </row>
    <row r="46" spans="5:12" ht="16" thickBot="1" x14ac:dyDescent="0.4">
      <c r="E46" s="238" t="s">
        <v>148</v>
      </c>
      <c r="F46" s="239">
        <f>+F30+F44</f>
        <v>-18088</v>
      </c>
      <c r="G46" s="239">
        <f>+G30+G44</f>
        <v>-47983.509999999995</v>
      </c>
      <c r="H46" s="277">
        <f>+H30+H44</f>
        <v>-50660.340000000026</v>
      </c>
      <c r="I46" s="195"/>
      <c r="J46" s="195" t="s">
        <v>185</v>
      </c>
      <c r="L46" s="230"/>
    </row>
    <row r="47" spans="5:12" ht="16" thickBot="1" x14ac:dyDescent="0.4"/>
    <row r="48" spans="5:12" ht="16" thickBot="1" x14ac:dyDescent="0.4">
      <c r="E48" s="278" t="s">
        <v>149</v>
      </c>
      <c r="F48" s="279">
        <f>+F24+F46</f>
        <v>11689.140681499979</v>
      </c>
      <c r="G48" s="279">
        <f>+G24+G46</f>
        <v>-30904.580000000009</v>
      </c>
      <c r="H48" s="280">
        <f>+H24+H46</f>
        <v>64152.855999999912</v>
      </c>
      <c r="I48" s="195"/>
      <c r="J48" s="195" t="s">
        <v>186</v>
      </c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4F5EE-0B55-444E-9DF4-0280AA27E82F}">
  <dimension ref="B1:AB48"/>
  <sheetViews>
    <sheetView showGridLines="0" zoomScaleNormal="100" workbookViewId="0">
      <selection activeCell="F20" sqref="F20"/>
    </sheetView>
  </sheetViews>
  <sheetFormatPr defaultRowHeight="15.5" x14ac:dyDescent="0.3"/>
  <cols>
    <col min="1" max="1" width="3.5" style="193" customWidth="1"/>
    <col min="2" max="2" width="18.58203125" style="193" bestFit="1" customWidth="1"/>
    <col min="3" max="3" width="13.25" style="193" bestFit="1" customWidth="1"/>
    <col min="4" max="4" width="3.75" style="193" customWidth="1"/>
    <col min="5" max="5" width="47" style="193" bestFit="1" customWidth="1"/>
    <col min="6" max="6" width="21.33203125" style="193" bestFit="1" customWidth="1"/>
    <col min="7" max="7" width="0.9140625" style="193" customWidth="1"/>
    <col min="8" max="8" width="12.33203125" style="193" bestFit="1" customWidth="1"/>
    <col min="9" max="9" width="0.9140625" style="193" customWidth="1"/>
    <col min="10" max="10" width="12.5" style="89" customWidth="1"/>
    <col min="11" max="11" width="0.9140625" style="193" customWidth="1"/>
    <col min="12" max="12" width="12.33203125" style="193" bestFit="1" customWidth="1"/>
    <col min="13" max="13" width="0.9140625" style="193" customWidth="1"/>
    <col min="14" max="14" width="12.33203125" style="193" bestFit="1" customWidth="1"/>
    <col min="15" max="15" width="0.9140625" style="193" customWidth="1"/>
    <col min="16" max="16" width="21.5" style="193" bestFit="1" customWidth="1"/>
    <col min="17" max="17" width="0.9140625" style="193" customWidth="1"/>
    <col min="18" max="18" width="14.33203125" style="316" customWidth="1"/>
    <col min="19" max="19" width="0.9140625" style="193" customWidth="1"/>
    <col min="20" max="20" width="21.5" style="193" bestFit="1" customWidth="1"/>
    <col min="21" max="21" width="0.9140625" style="193" customWidth="1"/>
    <col min="22" max="22" width="8.6640625" style="195"/>
    <col min="23" max="23" width="8.6640625" style="193"/>
    <col min="24" max="24" width="10.25" style="193" bestFit="1" customWidth="1"/>
    <col min="25" max="27" width="8.6640625" style="193"/>
    <col min="28" max="28" width="9.83203125" style="193" bestFit="1" customWidth="1"/>
    <col min="29" max="16384" width="8.6640625" style="193"/>
  </cols>
  <sheetData>
    <row r="1" spans="2:22" ht="16" thickBot="1" x14ac:dyDescent="0.35"/>
    <row r="2" spans="2:22" x14ac:dyDescent="0.35">
      <c r="B2" s="281" t="s">
        <v>202</v>
      </c>
      <c r="C2" s="282">
        <v>135101.85</v>
      </c>
      <c r="E2" s="198" t="s">
        <v>124</v>
      </c>
      <c r="F2" s="200" t="s">
        <v>127</v>
      </c>
      <c r="H2" s="286" t="s">
        <v>189</v>
      </c>
      <c r="J2" s="286" t="s">
        <v>192</v>
      </c>
      <c r="L2" s="286" t="s">
        <v>196</v>
      </c>
      <c r="N2" s="286" t="s">
        <v>199</v>
      </c>
      <c r="P2" s="286" t="s">
        <v>204</v>
      </c>
      <c r="R2" s="317" t="s">
        <v>205</v>
      </c>
      <c r="T2" s="286" t="s">
        <v>215</v>
      </c>
      <c r="V2" s="202" t="s">
        <v>217</v>
      </c>
    </row>
    <row r="3" spans="2:22" x14ac:dyDescent="0.35">
      <c r="B3" s="203"/>
      <c r="C3" s="204"/>
      <c r="E3" s="205" t="s">
        <v>123</v>
      </c>
      <c r="F3" s="208">
        <v>182019.02999999997</v>
      </c>
      <c r="H3" s="287">
        <v>30674</v>
      </c>
      <c r="J3" s="287">
        <v>30273</v>
      </c>
      <c r="L3" s="287">
        <v>29590</v>
      </c>
      <c r="N3" s="287">
        <v>27963</v>
      </c>
      <c r="P3" s="287">
        <f>+H3+J3+L3+N3</f>
        <v>118500</v>
      </c>
      <c r="R3" s="315">
        <f>+P3/F3</f>
        <v>0.65103082902925047</v>
      </c>
      <c r="T3" s="318">
        <f>+P3-F3</f>
        <v>-63519.02999999997</v>
      </c>
      <c r="V3" s="195" t="s">
        <v>201</v>
      </c>
    </row>
    <row r="4" spans="2:22" x14ac:dyDescent="0.35">
      <c r="B4" s="203"/>
      <c r="C4" s="204"/>
      <c r="E4" s="205" t="s">
        <v>132</v>
      </c>
      <c r="F4" s="208">
        <v>1E-4</v>
      </c>
      <c r="H4" s="287">
        <v>2069.9699999999998</v>
      </c>
      <c r="J4" s="287">
        <v>0</v>
      </c>
      <c r="L4" s="287">
        <v>0</v>
      </c>
      <c r="N4" s="287">
        <v>0</v>
      </c>
      <c r="P4" s="287">
        <f>+H4+J4+L4+N4</f>
        <v>2069.9699999999998</v>
      </c>
      <c r="R4" s="315" t="s">
        <v>208</v>
      </c>
      <c r="T4" s="287">
        <f t="shared" ref="T4:T5" si="0">+P4-F4</f>
        <v>2069.9698999999996</v>
      </c>
      <c r="V4" s="195" t="s">
        <v>206</v>
      </c>
    </row>
    <row r="5" spans="2:22" ht="16" thickBot="1" x14ac:dyDescent="0.4">
      <c r="B5" s="203"/>
      <c r="C5" s="204"/>
      <c r="E5" s="210" t="s">
        <v>194</v>
      </c>
      <c r="F5" s="213">
        <v>101085.91</v>
      </c>
      <c r="H5" s="288">
        <v>0</v>
      </c>
      <c r="J5" s="288">
        <v>0</v>
      </c>
      <c r="L5" s="288"/>
      <c r="N5" s="288"/>
      <c r="P5" s="288">
        <f>+F5</f>
        <v>101085.91</v>
      </c>
      <c r="R5" s="315" t="s">
        <v>208</v>
      </c>
      <c r="T5" s="288">
        <f t="shared" si="0"/>
        <v>0</v>
      </c>
      <c r="V5" s="195" t="s">
        <v>209</v>
      </c>
    </row>
    <row r="6" spans="2:22" ht="16.5" thickTop="1" thickBot="1" x14ac:dyDescent="0.4">
      <c r="B6" s="203"/>
      <c r="C6" s="204"/>
      <c r="E6" s="214" t="s">
        <v>128</v>
      </c>
      <c r="F6" s="216">
        <v>283104.93999999994</v>
      </c>
      <c r="H6" s="289">
        <f>SUM(H3:H5)</f>
        <v>32743.97</v>
      </c>
      <c r="J6" s="289">
        <f>SUM(J3:J5)</f>
        <v>30273</v>
      </c>
      <c r="L6" s="289">
        <v>29590</v>
      </c>
      <c r="N6" s="289">
        <f>SUM(N3:N5)</f>
        <v>27963</v>
      </c>
      <c r="P6" s="289">
        <f>SUM(P3:P5)</f>
        <v>221655.88</v>
      </c>
      <c r="R6" s="315">
        <f>+P6/F6</f>
        <v>0.782945998752265</v>
      </c>
      <c r="T6" s="319">
        <f>SUM(T3:T5)</f>
        <v>-61449.060099999973</v>
      </c>
      <c r="V6" s="195" t="s">
        <v>207</v>
      </c>
    </row>
    <row r="7" spans="2:22" ht="5.5" customHeight="1" thickBot="1" x14ac:dyDescent="0.4">
      <c r="B7" s="203"/>
      <c r="C7" s="204"/>
      <c r="E7" s="218"/>
      <c r="F7" s="218"/>
      <c r="H7" s="218"/>
      <c r="J7" s="218"/>
      <c r="L7" s="218"/>
      <c r="N7" s="218"/>
      <c r="P7" s="218"/>
      <c r="T7" s="218"/>
    </row>
    <row r="8" spans="2:22" x14ac:dyDescent="0.35">
      <c r="B8" s="203"/>
      <c r="C8" s="204"/>
      <c r="E8" s="219" t="s">
        <v>130</v>
      </c>
      <c r="F8" s="221" t="s">
        <v>127</v>
      </c>
      <c r="H8" s="290" t="s">
        <v>189</v>
      </c>
      <c r="J8" s="290" t="s">
        <v>192</v>
      </c>
      <c r="L8" s="290" t="s">
        <v>196</v>
      </c>
      <c r="N8" s="290" t="s">
        <v>199</v>
      </c>
      <c r="P8" s="290" t="s">
        <v>204</v>
      </c>
      <c r="R8" s="317" t="s">
        <v>205</v>
      </c>
      <c r="T8" s="290" t="s">
        <v>215</v>
      </c>
      <c r="V8" s="202" t="s">
        <v>217</v>
      </c>
    </row>
    <row r="9" spans="2:22" ht="16" thickBot="1" x14ac:dyDescent="0.4">
      <c r="B9" s="223"/>
      <c r="C9" s="224"/>
      <c r="E9" s="225" t="s">
        <v>25</v>
      </c>
      <c r="F9" s="228">
        <v>1333.2</v>
      </c>
      <c r="H9" s="291">
        <v>0</v>
      </c>
      <c r="J9" s="291">
        <v>0</v>
      </c>
      <c r="L9" s="291">
        <v>0</v>
      </c>
      <c r="N9" s="291">
        <v>0</v>
      </c>
      <c r="P9" s="291">
        <f>H9+J9+L9+N9</f>
        <v>0</v>
      </c>
      <c r="R9" s="315">
        <f>+(H9+J9+L9+N9)/F9</f>
        <v>0</v>
      </c>
      <c r="T9" s="291">
        <f>+P9-F9</f>
        <v>-1333.2</v>
      </c>
      <c r="V9" s="195" t="s">
        <v>210</v>
      </c>
    </row>
    <row r="10" spans="2:22" ht="16" thickBot="1" x14ac:dyDescent="0.4">
      <c r="E10" s="225" t="s">
        <v>26</v>
      </c>
      <c r="F10" s="228">
        <v>12102.244000000001</v>
      </c>
      <c r="H10" s="291">
        <v>0</v>
      </c>
      <c r="J10" s="291">
        <v>0</v>
      </c>
      <c r="L10" s="291">
        <v>0</v>
      </c>
      <c r="N10" s="291">
        <v>12079.29</v>
      </c>
      <c r="P10" s="291">
        <f t="shared" ref="P10:P21" si="1">H10+J10+L10+N10</f>
        <v>12079.29</v>
      </c>
      <c r="R10" s="315">
        <f t="shared" ref="R10:R22" si="2">+P10/F10</f>
        <v>0.99810332695324933</v>
      </c>
      <c r="T10" s="291">
        <f t="shared" ref="T10:T21" si="3">+P10-F10</f>
        <v>-22.953999999999724</v>
      </c>
      <c r="V10" s="195" t="s">
        <v>211</v>
      </c>
    </row>
    <row r="11" spans="2:22" x14ac:dyDescent="0.35">
      <c r="B11" s="283" t="s">
        <v>119</v>
      </c>
      <c r="C11" s="284">
        <f>+F5+H24+J24+L24+N24</f>
        <v>96936.86</v>
      </c>
      <c r="E11" s="225" t="s">
        <v>141</v>
      </c>
      <c r="F11" s="228">
        <v>30000</v>
      </c>
      <c r="H11" s="291">
        <v>0</v>
      </c>
      <c r="J11" s="291">
        <v>0</v>
      </c>
      <c r="L11" s="291">
        <v>22677.840000000004</v>
      </c>
      <c r="N11" s="291">
        <v>18272.099999999999</v>
      </c>
      <c r="P11" s="291">
        <f t="shared" si="1"/>
        <v>40949.94</v>
      </c>
      <c r="R11" s="315">
        <f t="shared" si="2"/>
        <v>1.3649980000000002</v>
      </c>
      <c r="T11" s="312">
        <f t="shared" si="3"/>
        <v>10949.940000000002</v>
      </c>
      <c r="V11" s="195" t="s">
        <v>200</v>
      </c>
    </row>
    <row r="12" spans="2:22" ht="16" thickBot="1" x14ac:dyDescent="0.4">
      <c r="B12" s="303" t="s">
        <v>190</v>
      </c>
      <c r="C12" s="304">
        <f>+F29+H46+J46+L46+N46</f>
        <v>38164.99</v>
      </c>
      <c r="E12" s="225" t="s">
        <v>115</v>
      </c>
      <c r="F12" s="228">
        <v>5868.66</v>
      </c>
      <c r="H12" s="291">
        <v>0</v>
      </c>
      <c r="J12" s="291">
        <v>1046.95</v>
      </c>
      <c r="L12" s="291">
        <v>187.17</v>
      </c>
      <c r="N12" s="291">
        <v>279.99</v>
      </c>
      <c r="P12" s="291">
        <f t="shared" si="1"/>
        <v>1514.1100000000001</v>
      </c>
      <c r="R12" s="315">
        <f t="shared" si="2"/>
        <v>0.25799927070234091</v>
      </c>
      <c r="T12" s="291">
        <f t="shared" si="3"/>
        <v>-4354.5499999999993</v>
      </c>
      <c r="V12" s="195" t="s">
        <v>212</v>
      </c>
    </row>
    <row r="13" spans="2:22" x14ac:dyDescent="0.35">
      <c r="E13" s="225" t="s">
        <v>188</v>
      </c>
      <c r="F13" s="228">
        <v>1732.86</v>
      </c>
      <c r="H13" s="291">
        <v>80</v>
      </c>
      <c r="J13" s="291">
        <v>2690</v>
      </c>
      <c r="L13" s="291">
        <v>0</v>
      </c>
      <c r="N13" s="291">
        <v>0</v>
      </c>
      <c r="P13" s="291">
        <f t="shared" si="1"/>
        <v>2770</v>
      </c>
      <c r="R13" s="315">
        <f t="shared" si="2"/>
        <v>1.5985134402086725</v>
      </c>
      <c r="T13" s="312">
        <f t="shared" si="3"/>
        <v>1037.1400000000001</v>
      </c>
      <c r="V13" s="195" t="s">
        <v>198</v>
      </c>
    </row>
    <row r="14" spans="2:22" x14ac:dyDescent="0.35">
      <c r="C14" s="285"/>
      <c r="E14" s="225" t="s">
        <v>19</v>
      </c>
      <c r="F14" s="228">
        <v>10800</v>
      </c>
      <c r="H14" s="291">
        <v>1200</v>
      </c>
      <c r="J14" s="291">
        <v>2400</v>
      </c>
      <c r="L14" s="291">
        <v>2400</v>
      </c>
      <c r="N14" s="291">
        <v>2150</v>
      </c>
      <c r="P14" s="291">
        <f t="shared" si="1"/>
        <v>8150</v>
      </c>
      <c r="R14" s="315">
        <f t="shared" si="2"/>
        <v>0.75462962962962965</v>
      </c>
      <c r="T14" s="291">
        <f t="shared" si="3"/>
        <v>-2650</v>
      </c>
      <c r="V14" s="195" t="s">
        <v>213</v>
      </c>
    </row>
    <row r="15" spans="2:22" x14ac:dyDescent="0.35">
      <c r="C15" s="285"/>
      <c r="E15" s="225" t="s">
        <v>20</v>
      </c>
      <c r="F15" s="228">
        <v>500</v>
      </c>
      <c r="H15" s="291">
        <v>214.6</v>
      </c>
      <c r="J15" s="291">
        <v>0</v>
      </c>
      <c r="L15" s="291">
        <v>0</v>
      </c>
      <c r="N15" s="291">
        <v>0</v>
      </c>
      <c r="P15" s="291">
        <f t="shared" si="1"/>
        <v>214.6</v>
      </c>
      <c r="R15" s="315">
        <f t="shared" si="2"/>
        <v>0.42919999999999997</v>
      </c>
      <c r="T15" s="291">
        <f t="shared" si="3"/>
        <v>-285.39999999999998</v>
      </c>
      <c r="V15" s="195" t="s">
        <v>214</v>
      </c>
    </row>
    <row r="16" spans="2:22" x14ac:dyDescent="0.35">
      <c r="E16" s="225" t="s">
        <v>21</v>
      </c>
      <c r="F16" s="228">
        <v>500</v>
      </c>
      <c r="H16" s="291">
        <v>2.54</v>
      </c>
      <c r="J16" s="291">
        <v>65.099999999999994</v>
      </c>
      <c r="L16" s="291">
        <v>12</v>
      </c>
      <c r="N16" s="291">
        <v>0</v>
      </c>
      <c r="P16" s="291">
        <f t="shared" si="1"/>
        <v>79.64</v>
      </c>
      <c r="R16" s="315">
        <f t="shared" si="2"/>
        <v>0.15928</v>
      </c>
      <c r="T16" s="291">
        <f t="shared" si="3"/>
        <v>-420.36</v>
      </c>
      <c r="V16" s="195" t="s">
        <v>216</v>
      </c>
    </row>
    <row r="17" spans="5:28" x14ac:dyDescent="0.35">
      <c r="E17" s="225" t="s">
        <v>27</v>
      </c>
      <c r="F17" s="228">
        <v>11600</v>
      </c>
      <c r="H17" s="291">
        <v>2099.73</v>
      </c>
      <c r="J17" s="291">
        <v>0</v>
      </c>
      <c r="L17" s="291">
        <v>1176.48</v>
      </c>
      <c r="N17" s="291">
        <v>100.93</v>
      </c>
      <c r="P17" s="291">
        <f t="shared" si="1"/>
        <v>3377.14</v>
      </c>
      <c r="R17" s="315">
        <f t="shared" si="2"/>
        <v>0.29113275862068966</v>
      </c>
      <c r="T17" s="291">
        <f t="shared" si="3"/>
        <v>-8222.86</v>
      </c>
      <c r="V17" s="195" t="s">
        <v>220</v>
      </c>
    </row>
    <row r="18" spans="5:28" x14ac:dyDescent="0.35">
      <c r="E18" s="225" t="s">
        <v>39</v>
      </c>
      <c r="F18" s="228">
        <v>48508.23</v>
      </c>
      <c r="H18" s="291">
        <v>8355.5</v>
      </c>
      <c r="J18" s="291">
        <v>8145</v>
      </c>
      <c r="L18" s="291">
        <v>8987</v>
      </c>
      <c r="N18" s="291">
        <v>7654.5</v>
      </c>
      <c r="P18" s="291">
        <f t="shared" si="1"/>
        <v>33142</v>
      </c>
      <c r="R18" s="315">
        <f t="shared" si="2"/>
        <v>0.6832242693662498</v>
      </c>
      <c r="T18" s="291">
        <f t="shared" si="3"/>
        <v>-15366.230000000003</v>
      </c>
      <c r="V18" s="195" t="s">
        <v>218</v>
      </c>
      <c r="AB18" s="313"/>
    </row>
    <row r="19" spans="5:28" x14ac:dyDescent="0.35">
      <c r="E19" s="225" t="s">
        <v>191</v>
      </c>
      <c r="F19" s="228">
        <v>8567.09</v>
      </c>
      <c r="H19" s="291">
        <v>0</v>
      </c>
      <c r="J19" s="291">
        <v>6852.52</v>
      </c>
      <c r="L19" s="291">
        <v>5338.07</v>
      </c>
      <c r="N19" s="291">
        <v>0</v>
      </c>
      <c r="P19" s="291">
        <f t="shared" si="1"/>
        <v>12190.59</v>
      </c>
      <c r="R19" s="315">
        <f t="shared" si="2"/>
        <v>1.4229557527701939</v>
      </c>
      <c r="T19" s="312">
        <f t="shared" si="3"/>
        <v>3623.5</v>
      </c>
      <c r="V19" s="195" t="s">
        <v>219</v>
      </c>
      <c r="AB19" s="313"/>
    </row>
    <row r="20" spans="5:28" x14ac:dyDescent="0.35">
      <c r="E20" s="225" t="s">
        <v>23</v>
      </c>
      <c r="F20" s="228">
        <v>15567</v>
      </c>
      <c r="H20" s="291">
        <v>2515.41</v>
      </c>
      <c r="J20" s="291">
        <v>889.88</v>
      </c>
      <c r="L20" s="291">
        <v>0</v>
      </c>
      <c r="N20" s="291">
        <v>0</v>
      </c>
      <c r="P20" s="291">
        <f t="shared" si="1"/>
        <v>3405.29</v>
      </c>
      <c r="R20" s="315">
        <f t="shared" si="2"/>
        <v>0.21875056208646496</v>
      </c>
      <c r="T20" s="291">
        <f t="shared" si="3"/>
        <v>-12161.71</v>
      </c>
      <c r="V20" s="195" t="s">
        <v>221</v>
      </c>
    </row>
    <row r="21" spans="5:28" ht="16" thickBot="1" x14ac:dyDescent="0.4">
      <c r="E21" s="231" t="s">
        <v>88</v>
      </c>
      <c r="F21" s="233">
        <v>21212.46</v>
      </c>
      <c r="H21" s="292">
        <v>1357.45</v>
      </c>
      <c r="J21" s="292">
        <v>360</v>
      </c>
      <c r="L21" s="292">
        <v>3252.48</v>
      </c>
      <c r="N21" s="292">
        <v>1876.49</v>
      </c>
      <c r="P21" s="292">
        <f t="shared" si="1"/>
        <v>6846.42</v>
      </c>
      <c r="R21" s="315">
        <f t="shared" si="2"/>
        <v>0.32275464514723895</v>
      </c>
      <c r="T21" s="292">
        <f t="shared" si="3"/>
        <v>-14366.039999999999</v>
      </c>
      <c r="V21" s="195" t="s">
        <v>222</v>
      </c>
    </row>
    <row r="22" spans="5:28" ht="16.5" thickTop="1" thickBot="1" x14ac:dyDescent="0.4">
      <c r="E22" s="234" t="s">
        <v>129</v>
      </c>
      <c r="F22" s="236">
        <f>SUM(F9:F21)</f>
        <v>168291.74400000001</v>
      </c>
      <c r="H22" s="293">
        <f>SUM(H9:H21)</f>
        <v>15825.23</v>
      </c>
      <c r="J22" s="293">
        <f>SUM(J9:J21)</f>
        <v>22449.45</v>
      </c>
      <c r="L22" s="293">
        <v>44031.040000000008</v>
      </c>
      <c r="N22" s="293">
        <f>SUM(N9:N21)</f>
        <v>42413.3</v>
      </c>
      <c r="P22" s="293">
        <f>SUM(P9:P21)</f>
        <v>124719.01999999999</v>
      </c>
      <c r="R22" s="315">
        <f t="shared" si="2"/>
        <v>0.74108816651160248</v>
      </c>
      <c r="T22" s="321">
        <f>SUM(T9:T21)</f>
        <v>-43572.724000000002</v>
      </c>
      <c r="V22" s="195" t="s">
        <v>223</v>
      </c>
    </row>
    <row r="23" spans="5:28" ht="5.5" customHeight="1" thickBot="1" x14ac:dyDescent="0.4">
      <c r="J23" s="193"/>
      <c r="R23" s="315"/>
    </row>
    <row r="24" spans="5:28" ht="16" thickBot="1" x14ac:dyDescent="0.4">
      <c r="E24" s="238" t="s">
        <v>119</v>
      </c>
      <c r="F24" s="307">
        <f>+F6-F22</f>
        <v>114813.19599999994</v>
      </c>
      <c r="G24" s="305"/>
      <c r="H24" s="306">
        <f>+H6-H22</f>
        <v>16918.740000000002</v>
      </c>
      <c r="I24" s="305"/>
      <c r="J24" s="306">
        <f>+J6-J22</f>
        <v>7823.5499999999993</v>
      </c>
      <c r="K24" s="305"/>
      <c r="L24" s="311">
        <f>+L6-L22</f>
        <v>-14441.040000000008</v>
      </c>
      <c r="M24" s="305"/>
      <c r="N24" s="311">
        <f>+N6-N22</f>
        <v>-14450.300000000003</v>
      </c>
      <c r="O24" s="305"/>
      <c r="P24" s="306">
        <f>+P6-P22</f>
        <v>96936.860000000015</v>
      </c>
      <c r="R24" s="315">
        <f>+P24/F24</f>
        <v>0.84430068474010656</v>
      </c>
      <c r="T24" s="311">
        <f>+T6-T22</f>
        <v>-17876.336099999971</v>
      </c>
      <c r="V24" s="195" t="s">
        <v>237</v>
      </c>
    </row>
    <row r="25" spans="5:28" ht="16" thickBot="1" x14ac:dyDescent="0.4">
      <c r="J25" s="193"/>
    </row>
    <row r="26" spans="5:28" x14ac:dyDescent="0.35">
      <c r="E26" s="241" t="s">
        <v>131</v>
      </c>
      <c r="F26" s="243" t="s">
        <v>127</v>
      </c>
      <c r="H26" s="294" t="s">
        <v>189</v>
      </c>
      <c r="J26" s="294" t="s">
        <v>192</v>
      </c>
      <c r="L26" s="294" t="s">
        <v>196</v>
      </c>
      <c r="N26" s="294" t="s">
        <v>199</v>
      </c>
      <c r="P26" s="294" t="s">
        <v>204</v>
      </c>
      <c r="R26" s="317" t="s">
        <v>205</v>
      </c>
      <c r="T26" s="294" t="s">
        <v>215</v>
      </c>
      <c r="V26" s="202" t="s">
        <v>217</v>
      </c>
      <c r="X26" s="314"/>
    </row>
    <row r="27" spans="5:28" x14ac:dyDescent="0.35">
      <c r="E27" s="245" t="s">
        <v>17</v>
      </c>
      <c r="F27" s="247">
        <v>57588</v>
      </c>
      <c r="H27" s="295">
        <v>30211.87</v>
      </c>
      <c r="J27" s="295">
        <v>606</v>
      </c>
      <c r="L27" s="295">
        <v>0</v>
      </c>
      <c r="N27" s="295">
        <v>0</v>
      </c>
      <c r="P27" s="295">
        <f>H27+J27+L27+N27</f>
        <v>30817.87</v>
      </c>
      <c r="R27" s="315">
        <f>+(H27+J27+L27+N27)/F27</f>
        <v>0.53514395360144473</v>
      </c>
      <c r="T27" s="295">
        <f>+P27-F27</f>
        <v>-26770.13</v>
      </c>
      <c r="V27" s="195" t="s">
        <v>226</v>
      </c>
    </row>
    <row r="28" spans="5:28" x14ac:dyDescent="0.35">
      <c r="E28" s="245" t="s">
        <v>15</v>
      </c>
      <c r="F28" s="247">
        <v>9.9999999999999995E-7</v>
      </c>
      <c r="H28" s="295">
        <v>0</v>
      </c>
      <c r="J28" s="295">
        <v>135</v>
      </c>
      <c r="L28" s="295">
        <v>0</v>
      </c>
      <c r="N28" s="295">
        <v>20</v>
      </c>
      <c r="P28" s="295">
        <f t="shared" ref="P28:P29" si="4">H28+J28+L28+N28</f>
        <v>155</v>
      </c>
      <c r="R28" s="315" t="s">
        <v>208</v>
      </c>
      <c r="T28" s="295">
        <f>+P28-F28</f>
        <v>154.999999</v>
      </c>
      <c r="V28" s="195" t="s">
        <v>224</v>
      </c>
    </row>
    <row r="29" spans="5:28" ht="16" thickBot="1" x14ac:dyDescent="0.4">
      <c r="E29" s="249" t="s">
        <v>195</v>
      </c>
      <c r="F29" s="251">
        <v>84076.800000000003</v>
      </c>
      <c r="H29" s="296">
        <v>0</v>
      </c>
      <c r="J29" s="296">
        <v>0</v>
      </c>
      <c r="L29" s="296"/>
      <c r="N29" s="296"/>
      <c r="P29" s="296">
        <f t="shared" si="4"/>
        <v>0</v>
      </c>
      <c r="R29" s="315" t="s">
        <v>208</v>
      </c>
      <c r="T29" s="296">
        <v>0</v>
      </c>
      <c r="V29" s="195" t="s">
        <v>225</v>
      </c>
    </row>
    <row r="30" spans="5:28" ht="16.5" thickTop="1" thickBot="1" x14ac:dyDescent="0.4">
      <c r="E30" s="252" t="s">
        <v>133</v>
      </c>
      <c r="F30" s="254">
        <f>SUM(F27:F29)</f>
        <v>141664.800001</v>
      </c>
      <c r="H30" s="297">
        <f>SUM(H27:H29)</f>
        <v>30211.87</v>
      </c>
      <c r="J30" s="297">
        <f>SUM(J27:J29)</f>
        <v>741</v>
      </c>
      <c r="L30" s="297">
        <v>0</v>
      </c>
      <c r="N30" s="297">
        <f>SUM(N27:N29)</f>
        <v>20</v>
      </c>
      <c r="P30" s="297">
        <f>SUM(P27:P29)+F29</f>
        <v>115049.67</v>
      </c>
      <c r="R30" s="315">
        <f>+(H30+J30+L30+N30)/F30</f>
        <v>0.21863490436425537</v>
      </c>
      <c r="T30" s="320">
        <f>SUM(T27:T29)</f>
        <v>-26615.130001000001</v>
      </c>
      <c r="V30" s="195" t="s">
        <v>227</v>
      </c>
    </row>
    <row r="31" spans="5:28" ht="5.5" customHeight="1" thickBot="1" x14ac:dyDescent="0.4">
      <c r="E31" s="218"/>
      <c r="F31" s="218"/>
      <c r="H31" s="218"/>
      <c r="J31" s="218"/>
      <c r="L31" s="218"/>
      <c r="N31" s="218"/>
      <c r="P31" s="218"/>
      <c r="T31" s="218"/>
    </row>
    <row r="32" spans="5:28" x14ac:dyDescent="0.35">
      <c r="E32" s="256" t="s">
        <v>134</v>
      </c>
      <c r="F32" s="258" t="s">
        <v>127</v>
      </c>
      <c r="H32" s="298" t="s">
        <v>189</v>
      </c>
      <c r="J32" s="298" t="s">
        <v>192</v>
      </c>
      <c r="L32" s="298" t="s">
        <v>196</v>
      </c>
      <c r="N32" s="298" t="s">
        <v>199</v>
      </c>
      <c r="P32" s="298" t="s">
        <v>204</v>
      </c>
      <c r="R32" s="317" t="s">
        <v>205</v>
      </c>
      <c r="T32" s="298" t="s">
        <v>215</v>
      </c>
      <c r="V32" s="202" t="s">
        <v>217</v>
      </c>
    </row>
    <row r="33" spans="5:22" x14ac:dyDescent="0.35">
      <c r="E33" s="260" t="s">
        <v>142</v>
      </c>
      <c r="F33" s="263">
        <v>45000</v>
      </c>
      <c r="H33" s="299">
        <v>0</v>
      </c>
      <c r="J33" s="299">
        <v>0</v>
      </c>
      <c r="L33" s="299">
        <v>7730.21</v>
      </c>
      <c r="N33" s="299">
        <v>-9350</v>
      </c>
      <c r="P33" s="299">
        <f>H33+J33+L33+N33</f>
        <v>-1619.79</v>
      </c>
      <c r="R33" s="315">
        <f t="shared" ref="R33:R44" si="5">+(H33+J33+L33+N33)/F33</f>
        <v>-3.5995333333333331E-2</v>
      </c>
      <c r="T33" s="299">
        <f>+P33-F33</f>
        <v>-46619.79</v>
      </c>
      <c r="V33" s="195" t="s">
        <v>228</v>
      </c>
    </row>
    <row r="34" spans="5:22" x14ac:dyDescent="0.35">
      <c r="E34" s="260" t="s">
        <v>136</v>
      </c>
      <c r="F34" s="263">
        <v>30000</v>
      </c>
      <c r="H34" s="299">
        <v>0</v>
      </c>
      <c r="J34" s="299">
        <v>2659.47</v>
      </c>
      <c r="L34" s="299">
        <v>260</v>
      </c>
      <c r="N34" s="299">
        <v>9550</v>
      </c>
      <c r="P34" s="299">
        <f t="shared" ref="P34:P43" si="6">H34+J34+L34+N34</f>
        <v>12469.47</v>
      </c>
      <c r="R34" s="315">
        <f t="shared" si="5"/>
        <v>0.41564899999999999</v>
      </c>
      <c r="T34" s="299">
        <f t="shared" ref="T34:T43" si="7">+P34-F34</f>
        <v>-17530.53</v>
      </c>
      <c r="V34" s="195" t="s">
        <v>230</v>
      </c>
    </row>
    <row r="35" spans="5:22" x14ac:dyDescent="0.35">
      <c r="E35" s="260" t="s">
        <v>135</v>
      </c>
      <c r="F35" s="263">
        <v>6000</v>
      </c>
      <c r="H35" s="299">
        <v>0</v>
      </c>
      <c r="J35" s="299">
        <v>0</v>
      </c>
      <c r="L35" s="299">
        <v>0</v>
      </c>
      <c r="N35" s="299">
        <v>0</v>
      </c>
      <c r="P35" s="299">
        <f t="shared" si="6"/>
        <v>0</v>
      </c>
      <c r="R35" s="315">
        <f t="shared" si="5"/>
        <v>0</v>
      </c>
      <c r="T35" s="299">
        <f t="shared" si="7"/>
        <v>-6000</v>
      </c>
      <c r="V35" s="195" t="s">
        <v>229</v>
      </c>
    </row>
    <row r="36" spans="5:22" x14ac:dyDescent="0.35">
      <c r="E36" s="260" t="s">
        <v>140</v>
      </c>
      <c r="F36" s="263">
        <v>24000</v>
      </c>
      <c r="H36" s="299">
        <v>-6336.6</v>
      </c>
      <c r="J36" s="299">
        <v>12127.75</v>
      </c>
      <c r="L36" s="299">
        <v>11451.479999999996</v>
      </c>
      <c r="N36" s="299">
        <v>-1611.53</v>
      </c>
      <c r="P36" s="299">
        <f t="shared" si="6"/>
        <v>15631.099999999997</v>
      </c>
      <c r="R36" s="315">
        <f t="shared" si="5"/>
        <v>0.65129583333333319</v>
      </c>
      <c r="T36" s="299">
        <f t="shared" si="7"/>
        <v>-8368.9000000000033</v>
      </c>
      <c r="V36" s="195" t="s">
        <v>231</v>
      </c>
    </row>
    <row r="37" spans="5:22" x14ac:dyDescent="0.35">
      <c r="E37" s="265" t="s">
        <v>87</v>
      </c>
      <c r="F37" s="268">
        <v>2700</v>
      </c>
      <c r="H37" s="300">
        <v>0</v>
      </c>
      <c r="J37" s="300">
        <v>0</v>
      </c>
      <c r="L37" s="300">
        <v>0</v>
      </c>
      <c r="N37" s="300">
        <v>0</v>
      </c>
      <c r="P37" s="299">
        <f t="shared" si="6"/>
        <v>0</v>
      </c>
      <c r="R37" s="315">
        <f t="shared" si="5"/>
        <v>0</v>
      </c>
      <c r="T37" s="299">
        <f t="shared" si="7"/>
        <v>-2700</v>
      </c>
      <c r="V37" s="195" t="s">
        <v>203</v>
      </c>
    </row>
    <row r="38" spans="5:22" x14ac:dyDescent="0.35">
      <c r="E38" s="265" t="s">
        <v>143</v>
      </c>
      <c r="F38" s="268">
        <v>16000</v>
      </c>
      <c r="H38" s="300">
        <v>8011</v>
      </c>
      <c r="J38" s="300">
        <v>2498</v>
      </c>
      <c r="L38" s="300">
        <v>1120</v>
      </c>
      <c r="N38" s="300">
        <v>700</v>
      </c>
      <c r="P38" s="299">
        <f t="shared" si="6"/>
        <v>12329</v>
      </c>
      <c r="R38" s="315">
        <f t="shared" si="5"/>
        <v>0.77056250000000004</v>
      </c>
      <c r="T38" s="299">
        <f t="shared" si="7"/>
        <v>-3671</v>
      </c>
      <c r="V38" s="195" t="s">
        <v>232</v>
      </c>
    </row>
    <row r="39" spans="5:22" x14ac:dyDescent="0.35">
      <c r="E39" s="260" t="s">
        <v>38</v>
      </c>
      <c r="F39" s="263">
        <v>24520</v>
      </c>
      <c r="H39" s="299">
        <v>546.4</v>
      </c>
      <c r="J39" s="299">
        <v>0</v>
      </c>
      <c r="L39" s="299">
        <v>0</v>
      </c>
      <c r="N39" s="299">
        <v>12260</v>
      </c>
      <c r="P39" s="299">
        <f t="shared" si="6"/>
        <v>12806.4</v>
      </c>
      <c r="R39" s="315">
        <f t="shared" si="5"/>
        <v>0.52228384991843391</v>
      </c>
      <c r="T39" s="299">
        <f t="shared" si="7"/>
        <v>-11713.6</v>
      </c>
      <c r="V39" s="195" t="s">
        <v>233</v>
      </c>
    </row>
    <row r="40" spans="5:22" x14ac:dyDescent="0.35">
      <c r="E40" s="260" t="s">
        <v>138</v>
      </c>
      <c r="F40" s="263">
        <v>7500</v>
      </c>
      <c r="H40" s="299">
        <v>4500</v>
      </c>
      <c r="J40" s="299">
        <v>0</v>
      </c>
      <c r="L40" s="299">
        <v>0</v>
      </c>
      <c r="N40" s="299">
        <v>0</v>
      </c>
      <c r="P40" s="299">
        <f t="shared" si="6"/>
        <v>4500</v>
      </c>
      <c r="R40" s="315">
        <f t="shared" si="5"/>
        <v>0.6</v>
      </c>
      <c r="T40" s="299">
        <f t="shared" si="7"/>
        <v>-3000</v>
      </c>
      <c r="V40" s="195" t="s">
        <v>235</v>
      </c>
    </row>
    <row r="41" spans="5:22" x14ac:dyDescent="0.35">
      <c r="E41" s="260" t="s">
        <v>137</v>
      </c>
      <c r="F41" s="263">
        <v>5567.7</v>
      </c>
      <c r="H41" s="299">
        <v>0</v>
      </c>
      <c r="J41" s="299">
        <v>0</v>
      </c>
      <c r="L41" s="299">
        <v>0</v>
      </c>
      <c r="N41" s="299">
        <v>2768.5</v>
      </c>
      <c r="P41" s="299">
        <f t="shared" si="6"/>
        <v>2768.5</v>
      </c>
      <c r="R41" s="315">
        <f t="shared" si="5"/>
        <v>0.49724302674353865</v>
      </c>
      <c r="T41" s="299">
        <f t="shared" si="7"/>
        <v>-2799.2</v>
      </c>
      <c r="V41" s="195" t="s">
        <v>235</v>
      </c>
    </row>
    <row r="42" spans="5:22" x14ac:dyDescent="0.35">
      <c r="E42" s="260" t="s">
        <v>139</v>
      </c>
      <c r="F42" s="263">
        <v>5567.7</v>
      </c>
      <c r="H42" s="299">
        <v>0</v>
      </c>
      <c r="J42" s="299">
        <v>0</v>
      </c>
      <c r="L42" s="299">
        <v>0</v>
      </c>
      <c r="N42" s="299">
        <v>0</v>
      </c>
      <c r="P42" s="299">
        <f t="shared" si="6"/>
        <v>0</v>
      </c>
      <c r="R42" s="315">
        <f t="shared" si="5"/>
        <v>0</v>
      </c>
      <c r="T42" s="299">
        <f t="shared" si="7"/>
        <v>-5567.7</v>
      </c>
      <c r="V42" s="195" t="s">
        <v>235</v>
      </c>
    </row>
    <row r="43" spans="5:22" ht="16" thickBot="1" x14ac:dyDescent="0.4">
      <c r="E43" s="269" t="s">
        <v>187</v>
      </c>
      <c r="F43" s="272">
        <v>24520</v>
      </c>
      <c r="H43" s="301">
        <v>18000</v>
      </c>
      <c r="J43" s="301">
        <v>0</v>
      </c>
      <c r="L43" s="301">
        <v>0</v>
      </c>
      <c r="N43" s="301">
        <v>0</v>
      </c>
      <c r="P43" s="301">
        <f t="shared" si="6"/>
        <v>18000</v>
      </c>
      <c r="R43" s="315">
        <f t="shared" si="5"/>
        <v>0.73409461663947795</v>
      </c>
      <c r="T43" s="301">
        <f t="shared" si="7"/>
        <v>-6520</v>
      </c>
      <c r="V43" s="195" t="s">
        <v>236</v>
      </c>
    </row>
    <row r="44" spans="5:22" ht="16.5" thickTop="1" thickBot="1" x14ac:dyDescent="0.4">
      <c r="E44" s="273" t="s">
        <v>129</v>
      </c>
      <c r="F44" s="275">
        <f>SUM(F33:F43)</f>
        <v>191375.40000000002</v>
      </c>
      <c r="H44" s="302">
        <f>SUM(H33:H43)</f>
        <v>24720.799999999999</v>
      </c>
      <c r="J44" s="302">
        <f>SUM(J33:J43)</f>
        <v>17285.22</v>
      </c>
      <c r="L44" s="302">
        <v>20561.689999999995</v>
      </c>
      <c r="N44" s="302">
        <f>SUM(N33:N43)</f>
        <v>14316.97</v>
      </c>
      <c r="P44" s="302">
        <f>SUM(P33:P43)</f>
        <v>76884.679999999993</v>
      </c>
      <c r="R44" s="315">
        <f t="shared" si="5"/>
        <v>0.40174797805778584</v>
      </c>
      <c r="T44" s="302">
        <f>SUM(T33:T43)</f>
        <v>-114490.72000000002</v>
      </c>
      <c r="V44" s="195" t="s">
        <v>234</v>
      </c>
    </row>
    <row r="45" spans="5:22" ht="5.5" customHeight="1" thickBot="1" x14ac:dyDescent="0.4">
      <c r="J45" s="193"/>
      <c r="R45" s="315"/>
    </row>
    <row r="46" spans="5:22" ht="16" thickBot="1" x14ac:dyDescent="0.4">
      <c r="E46" s="238" t="s">
        <v>197</v>
      </c>
      <c r="F46" s="308">
        <f>+F30-F44</f>
        <v>-49710.599999000027</v>
      </c>
      <c r="G46" s="305"/>
      <c r="H46" s="306">
        <f>+H30-H44</f>
        <v>5491.07</v>
      </c>
      <c r="I46" s="305"/>
      <c r="J46" s="311">
        <f>+J30-J44</f>
        <v>-16544.22</v>
      </c>
      <c r="K46" s="305"/>
      <c r="L46" s="311">
        <f>+L30-L44</f>
        <v>-20561.689999999995</v>
      </c>
      <c r="M46" s="305"/>
      <c r="N46" s="311">
        <f>+N30-N44</f>
        <v>-14296.97</v>
      </c>
      <c r="O46" s="305"/>
      <c r="P46" s="306">
        <f>+P30-P44</f>
        <v>38164.990000000005</v>
      </c>
      <c r="R46" s="315">
        <f>+(H46+J46+L46+N46)/F46</f>
        <v>0.92358189200942165</v>
      </c>
      <c r="T46" s="306">
        <f>+T30-T44</f>
        <v>87875.589999000018</v>
      </c>
      <c r="V46" s="195" t="s">
        <v>238</v>
      </c>
    </row>
    <row r="47" spans="5:22" ht="16" thickBot="1" x14ac:dyDescent="0.35">
      <c r="L47" s="89"/>
      <c r="N47" s="89"/>
      <c r="R47" s="315"/>
    </row>
    <row r="48" spans="5:22" ht="16" thickBot="1" x14ac:dyDescent="0.4">
      <c r="E48" s="278" t="s">
        <v>193</v>
      </c>
      <c r="F48" s="309">
        <f>+F24+F46</f>
        <v>65102.596000999911</v>
      </c>
      <c r="H48" s="310">
        <f>+H24+H46</f>
        <v>22409.81</v>
      </c>
      <c r="J48" s="322">
        <f>+J24+J46</f>
        <v>-8720.6700000000019</v>
      </c>
      <c r="K48" s="323"/>
      <c r="L48" s="322">
        <f>+L24+L46</f>
        <v>-35002.730000000003</v>
      </c>
      <c r="M48" s="323"/>
      <c r="N48" s="322">
        <f>+N24+N46</f>
        <v>-28747.270000000004</v>
      </c>
      <c r="P48" s="310">
        <f>+P24+P46</f>
        <v>135101.85000000003</v>
      </c>
      <c r="R48" s="315">
        <f>+(H48+J48+L48+N48)/F48</f>
        <v>-0.76895336092636191</v>
      </c>
      <c r="T48" s="310">
        <f>+T24+T46</f>
        <v>69999.253899000047</v>
      </c>
      <c r="V48" s="195" t="s">
        <v>238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894E-3C45-47F6-A062-64F5C8BCD424}">
  <sheetPr>
    <tabColor theme="4" tint="0.59999389629810485"/>
  </sheetPr>
  <dimension ref="B1:X53"/>
  <sheetViews>
    <sheetView showGridLines="0" topLeftCell="A2" zoomScaleNormal="100" workbookViewId="0">
      <selection activeCell="K41" sqref="K41"/>
    </sheetView>
  </sheetViews>
  <sheetFormatPr defaultRowHeight="15.5" x14ac:dyDescent="0.35"/>
  <cols>
    <col min="1" max="1" width="1.75" style="193" customWidth="1"/>
    <col min="2" max="2" width="49.25" style="193" bestFit="1" customWidth="1"/>
    <col min="3" max="3" width="21.33203125" style="193" bestFit="1" customWidth="1"/>
    <col min="4" max="4" width="0.9140625" style="193" customWidth="1"/>
    <col min="5" max="5" width="21.5" style="193" bestFit="1" customWidth="1"/>
    <col min="6" max="8" width="0.9140625" style="193" customWidth="1"/>
    <col min="9" max="9" width="26.58203125" style="193" bestFit="1" customWidth="1"/>
    <col min="10" max="10" width="0.9140625" style="193" customWidth="1"/>
    <col min="11" max="11" width="25.08203125" style="193" bestFit="1" customWidth="1"/>
    <col min="12" max="12" width="0.9140625" style="193" customWidth="1"/>
    <col min="13" max="13" width="26.58203125" style="193" bestFit="1" customWidth="1"/>
    <col min="14" max="14" width="0.9140625" style="193" customWidth="1"/>
    <col min="15" max="15" width="26.58203125" style="193" bestFit="1" customWidth="1"/>
    <col min="16" max="16" width="0.9140625" style="193" customWidth="1"/>
    <col min="17" max="17" width="26.58203125" style="193" customWidth="1"/>
    <col min="18" max="18" width="1" style="193" customWidth="1"/>
    <col min="19" max="19" width="26.58203125" style="193" customWidth="1"/>
    <col min="20" max="20" width="0.9140625" style="193" customWidth="1"/>
    <col min="21" max="21" width="31.9140625" style="193" bestFit="1" customWidth="1"/>
    <col min="22" max="22" width="0.9140625" style="193" customWidth="1"/>
    <col min="23" max="23" width="31.9140625" style="193" bestFit="1" customWidth="1"/>
    <col min="25" max="16384" width="8.6640625" style="193"/>
  </cols>
  <sheetData>
    <row r="1" spans="2:23" x14ac:dyDescent="0.35">
      <c r="C1" s="343" t="s">
        <v>250</v>
      </c>
      <c r="D1" s="343"/>
      <c r="E1" s="343"/>
      <c r="I1" s="344" t="s">
        <v>247</v>
      </c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26"/>
      <c r="W1" s="326"/>
    </row>
    <row r="2" spans="2:23" ht="16" thickBot="1" x14ac:dyDescent="0.4">
      <c r="C2" s="327" t="s">
        <v>248</v>
      </c>
      <c r="D2" s="328"/>
      <c r="E2" s="327" t="s">
        <v>249</v>
      </c>
      <c r="G2" s="325"/>
      <c r="I2" s="326" t="s">
        <v>243</v>
      </c>
      <c r="K2" s="326" t="s">
        <v>244</v>
      </c>
      <c r="M2" s="326" t="s">
        <v>245</v>
      </c>
      <c r="O2" s="326" t="s">
        <v>246</v>
      </c>
      <c r="Q2" s="326" t="s">
        <v>251</v>
      </c>
      <c r="S2" s="326" t="s">
        <v>253</v>
      </c>
      <c r="U2" s="326" t="s">
        <v>256</v>
      </c>
      <c r="W2" s="326" t="s">
        <v>262</v>
      </c>
    </row>
    <row r="3" spans="2:23" x14ac:dyDescent="0.35">
      <c r="B3" s="198" t="s">
        <v>124</v>
      </c>
      <c r="C3" s="200" t="s">
        <v>127</v>
      </c>
      <c r="E3" s="286" t="s">
        <v>204</v>
      </c>
      <c r="G3" s="325"/>
      <c r="I3" s="286" t="s">
        <v>240</v>
      </c>
      <c r="K3" s="286" t="s">
        <v>239</v>
      </c>
      <c r="M3" s="286" t="s">
        <v>240</v>
      </c>
      <c r="O3" s="286" t="s">
        <v>239</v>
      </c>
      <c r="Q3" s="286" t="s">
        <v>239</v>
      </c>
      <c r="S3" s="286" t="s">
        <v>240</v>
      </c>
      <c r="U3" s="286" t="s">
        <v>240</v>
      </c>
      <c r="W3" s="286" t="s">
        <v>240</v>
      </c>
    </row>
    <row r="4" spans="2:23" x14ac:dyDescent="0.35">
      <c r="B4" s="205" t="s">
        <v>123</v>
      </c>
      <c r="C4" s="208">
        <v>182019.02999999997</v>
      </c>
      <c r="E4" s="287">
        <v>118500</v>
      </c>
      <c r="G4" s="325"/>
      <c r="I4" s="287">
        <f>25000*12</f>
        <v>300000</v>
      </c>
      <c r="K4" s="287">
        <f>27000*12</f>
        <v>324000</v>
      </c>
      <c r="M4" s="287">
        <f>25000*12</f>
        <v>300000</v>
      </c>
      <c r="O4" s="287">
        <v>324000</v>
      </c>
      <c r="Q4" s="287">
        <v>324000</v>
      </c>
      <c r="S4" s="287">
        <v>300000</v>
      </c>
      <c r="U4" s="287">
        <v>300000</v>
      </c>
      <c r="W4" s="287">
        <v>300000</v>
      </c>
    </row>
    <row r="5" spans="2:23" x14ac:dyDescent="0.35">
      <c r="B5" s="205" t="s">
        <v>132</v>
      </c>
      <c r="C5" s="208">
        <v>1E-4</v>
      </c>
      <c r="E5" s="287">
        <v>2069.9699999999998</v>
      </c>
      <c r="G5" s="325"/>
      <c r="I5" s="287">
        <v>0</v>
      </c>
      <c r="K5" s="287">
        <v>0</v>
      </c>
      <c r="M5" s="287">
        <v>0</v>
      </c>
      <c r="O5" s="287">
        <v>0</v>
      </c>
      <c r="Q5" s="287">
        <v>0</v>
      </c>
      <c r="S5" s="287">
        <v>0</v>
      </c>
      <c r="U5" s="287">
        <v>0</v>
      </c>
      <c r="W5" s="287">
        <v>0</v>
      </c>
    </row>
    <row r="6" spans="2:23" ht="16" thickBot="1" x14ac:dyDescent="0.4">
      <c r="B6" s="210" t="s">
        <v>241</v>
      </c>
      <c r="C6" s="213">
        <v>101085.91</v>
      </c>
      <c r="E6" s="288">
        <v>101085.91</v>
      </c>
      <c r="G6" s="325"/>
      <c r="I6" s="288">
        <v>50000</v>
      </c>
      <c r="K6" s="288">
        <v>50000</v>
      </c>
      <c r="M6" s="288">
        <v>50000</v>
      </c>
      <c r="O6" s="288">
        <v>50000</v>
      </c>
      <c r="Q6" s="288">
        <v>50000</v>
      </c>
      <c r="S6" s="288">
        <v>50000</v>
      </c>
      <c r="U6" s="288">
        <v>50000</v>
      </c>
      <c r="W6" s="288">
        <v>50000</v>
      </c>
    </row>
    <row r="7" spans="2:23" ht="16.5" thickTop="1" thickBot="1" x14ac:dyDescent="0.4">
      <c r="B7" s="214" t="s">
        <v>128</v>
      </c>
      <c r="C7" s="216">
        <v>283104.93999999994</v>
      </c>
      <c r="E7" s="289">
        <v>221655.88</v>
      </c>
      <c r="G7" s="325"/>
      <c r="I7" s="289">
        <f>SUM(I4:I6)</f>
        <v>350000</v>
      </c>
      <c r="K7" s="289">
        <f>SUM(K4:K6)</f>
        <v>374000</v>
      </c>
      <c r="M7" s="289">
        <f>SUM(M4:M6)</f>
        <v>350000</v>
      </c>
      <c r="O7" s="289">
        <v>374000</v>
      </c>
      <c r="Q7" s="289">
        <v>374000</v>
      </c>
      <c r="S7" s="289">
        <v>350000</v>
      </c>
      <c r="U7" s="289">
        <v>350000</v>
      </c>
      <c r="W7" s="289">
        <v>350000</v>
      </c>
    </row>
    <row r="8" spans="2:23" ht="5.5" customHeight="1" thickBot="1" x14ac:dyDescent="0.4">
      <c r="B8" s="218"/>
      <c r="C8" s="218"/>
      <c r="E8" s="218"/>
      <c r="G8" s="325"/>
      <c r="I8" s="218"/>
      <c r="K8" s="218"/>
      <c r="M8" s="218"/>
      <c r="O8" s="218"/>
      <c r="Q8" s="218"/>
      <c r="S8" s="218"/>
      <c r="U8" s="218"/>
      <c r="W8" s="218"/>
    </row>
    <row r="9" spans="2:23" x14ac:dyDescent="0.35">
      <c r="B9" s="219" t="s">
        <v>130</v>
      </c>
      <c r="C9" s="221" t="s">
        <v>127</v>
      </c>
      <c r="E9" s="290" t="s">
        <v>204</v>
      </c>
      <c r="G9" s="325"/>
      <c r="I9" s="290" t="s">
        <v>240</v>
      </c>
      <c r="K9" s="290" t="s">
        <v>239</v>
      </c>
      <c r="M9" s="290" t="s">
        <v>239</v>
      </c>
      <c r="O9" s="290" t="s">
        <v>240</v>
      </c>
      <c r="Q9" s="290" t="s">
        <v>252</v>
      </c>
      <c r="S9" s="290" t="s">
        <v>255</v>
      </c>
      <c r="U9" s="290" t="s">
        <v>263</v>
      </c>
      <c r="W9" s="290" t="s">
        <v>263</v>
      </c>
    </row>
    <row r="10" spans="2:23" x14ac:dyDescent="0.35">
      <c r="B10" s="225" t="s">
        <v>25</v>
      </c>
      <c r="C10" s="228">
        <v>1333.2</v>
      </c>
      <c r="E10" s="291">
        <v>0</v>
      </c>
      <c r="G10" s="325"/>
      <c r="I10" s="291">
        <f>+C10*1.2*3</f>
        <v>4799.5199999999995</v>
      </c>
      <c r="K10" s="291">
        <f>+C10*1.1*3</f>
        <v>4399.5600000000004</v>
      </c>
      <c r="M10" s="291">
        <v>4399.5600000000004</v>
      </c>
      <c r="O10" s="291">
        <v>4799.5199999999995</v>
      </c>
      <c r="Q10" s="291">
        <f>+C10*3</f>
        <v>3999.6000000000004</v>
      </c>
      <c r="R10" s="347">
        <f>+Q10/308584.74</f>
        <v>1.2961107538888671E-2</v>
      </c>
      <c r="S10" s="291">
        <f>+Q10*1.05</f>
        <v>4199.5800000000008</v>
      </c>
      <c r="U10" s="291">
        <f t="shared" ref="U10:U11" si="0">300000*R10</f>
        <v>3888.3322616666014</v>
      </c>
      <c r="W10" s="291">
        <f>+U10</f>
        <v>3888.3322616666014</v>
      </c>
    </row>
    <row r="11" spans="2:23" x14ac:dyDescent="0.35">
      <c r="B11" s="225" t="s">
        <v>26</v>
      </c>
      <c r="C11" s="228">
        <v>12102.244000000001</v>
      </c>
      <c r="E11" s="291">
        <v>12079.29</v>
      </c>
      <c r="G11" s="325"/>
      <c r="I11" s="291">
        <f t="shared" ref="I11" si="1">+C11*1.2*3</f>
        <v>43568.078399999999</v>
      </c>
      <c r="K11" s="291">
        <f t="shared" ref="K11" si="2">+C11*1.1*3</f>
        <v>39937.405200000008</v>
      </c>
      <c r="M11" s="291">
        <v>39937.405200000008</v>
      </c>
      <c r="O11" s="291">
        <v>43568.078399999999</v>
      </c>
      <c r="Q11" s="291">
        <f t="shared" ref="Q11" si="3">+C11*3</f>
        <v>36306.732000000004</v>
      </c>
      <c r="R11" s="347">
        <f>+Q11/308584.74</f>
        <v>0.11765563002240488</v>
      </c>
      <c r="S11" s="291">
        <f t="shared" ref="S11:S22" si="4">+Q11*1.05</f>
        <v>38122.068600000006</v>
      </c>
      <c r="U11" s="291">
        <f t="shared" si="0"/>
        <v>35296.689006721463</v>
      </c>
      <c r="W11" s="291">
        <f t="shared" ref="W11:W22" si="5">+U11</f>
        <v>35296.689006721463</v>
      </c>
    </row>
    <row r="12" spans="2:23" x14ac:dyDescent="0.35">
      <c r="B12" s="225" t="s">
        <v>141</v>
      </c>
      <c r="C12" s="228">
        <v>30000</v>
      </c>
      <c r="E12" s="291">
        <v>40949.94</v>
      </c>
      <c r="G12" s="325"/>
      <c r="I12" s="291">
        <f>+C12*1.2</f>
        <v>36000</v>
      </c>
      <c r="K12" s="291">
        <f>+C12*1.1</f>
        <v>33000</v>
      </c>
      <c r="M12" s="291">
        <v>33000</v>
      </c>
      <c r="O12" s="291">
        <v>36000</v>
      </c>
      <c r="Q12" s="291">
        <v>40000</v>
      </c>
      <c r="R12" s="347">
        <f>+Q12/308584.74</f>
        <v>0.12962403779266596</v>
      </c>
      <c r="S12" s="291">
        <f t="shared" si="4"/>
        <v>42000</v>
      </c>
      <c r="U12" s="291">
        <f>300000*R12</f>
        <v>38887.211337799788</v>
      </c>
      <c r="W12" s="291">
        <f t="shared" si="5"/>
        <v>38887.211337799788</v>
      </c>
    </row>
    <row r="13" spans="2:23" x14ac:dyDescent="0.35">
      <c r="B13" s="225" t="s">
        <v>115</v>
      </c>
      <c r="C13" s="228">
        <v>5868.66</v>
      </c>
      <c r="E13" s="291">
        <v>1514.1100000000001</v>
      </c>
      <c r="G13" s="325"/>
      <c r="I13" s="291">
        <f>+E13*1.2*3</f>
        <v>5450.7960000000003</v>
      </c>
      <c r="K13" s="291">
        <f>+E13*1.1*3</f>
        <v>4996.5630000000001</v>
      </c>
      <c r="M13" s="291">
        <v>4996.5630000000001</v>
      </c>
      <c r="O13" s="291">
        <v>5450.7960000000003</v>
      </c>
      <c r="Q13" s="291">
        <f>+E13*3</f>
        <v>4542.33</v>
      </c>
      <c r="R13" s="347">
        <f>+Q13/308584.74</f>
        <v>1.4719878889669009E-2</v>
      </c>
      <c r="S13" s="291">
        <f t="shared" si="4"/>
        <v>4769.4465</v>
      </c>
      <c r="U13" s="291">
        <f>300000*R13</f>
        <v>4415.9636669007032</v>
      </c>
      <c r="W13" s="291">
        <f t="shared" si="5"/>
        <v>4415.9636669007032</v>
      </c>
    </row>
    <row r="14" spans="2:23" x14ac:dyDescent="0.35">
      <c r="B14" s="225" t="s">
        <v>188</v>
      </c>
      <c r="C14" s="228">
        <v>1732.86</v>
      </c>
      <c r="E14" s="291">
        <v>2770</v>
      </c>
      <c r="G14" s="325"/>
      <c r="I14" s="291">
        <f>+E14*1.2*3</f>
        <v>9972</v>
      </c>
      <c r="K14" s="291">
        <f>+E14*1.1*3</f>
        <v>9141.0000000000018</v>
      </c>
      <c r="M14" s="291">
        <v>9141.0000000000018</v>
      </c>
      <c r="O14" s="291">
        <v>9972</v>
      </c>
      <c r="Q14" s="291">
        <f>+E14*3</f>
        <v>8310</v>
      </c>
      <c r="R14" s="347">
        <f>+Q14/308584.74</f>
        <v>2.6929393851426356E-2</v>
      </c>
      <c r="S14" s="291">
        <f t="shared" si="4"/>
        <v>8725.5</v>
      </c>
      <c r="U14" s="291">
        <f>300000*R14</f>
        <v>8078.8181554279072</v>
      </c>
      <c r="W14" s="291">
        <f t="shared" si="5"/>
        <v>8078.8181554279072</v>
      </c>
    </row>
    <row r="15" spans="2:23" x14ac:dyDescent="0.35">
      <c r="B15" s="225" t="s">
        <v>19</v>
      </c>
      <c r="C15" s="228">
        <v>10800</v>
      </c>
      <c r="E15" s="291">
        <v>8150</v>
      </c>
      <c r="G15" s="325"/>
      <c r="I15" s="291">
        <f>+E15*1.3*3</f>
        <v>31785</v>
      </c>
      <c r="K15" s="291">
        <f>+E15*1.2*3</f>
        <v>29340</v>
      </c>
      <c r="M15" s="291">
        <v>29340</v>
      </c>
      <c r="O15" s="291">
        <v>31785</v>
      </c>
      <c r="Q15" s="291">
        <f>750*12*3</f>
        <v>27000</v>
      </c>
      <c r="R15" s="347">
        <f>+Q15/308584.74</f>
        <v>8.7496225510049527E-2</v>
      </c>
      <c r="S15" s="291">
        <f t="shared" si="4"/>
        <v>28350</v>
      </c>
      <c r="U15" s="291">
        <f>300000*R15</f>
        <v>26248.867653014859</v>
      </c>
      <c r="W15" s="291">
        <f t="shared" si="5"/>
        <v>26248.867653014859</v>
      </c>
    </row>
    <row r="16" spans="2:23" x14ac:dyDescent="0.35">
      <c r="B16" s="225" t="s">
        <v>20</v>
      </c>
      <c r="C16" s="228">
        <v>500</v>
      </c>
      <c r="E16" s="291">
        <v>214.6</v>
      </c>
      <c r="G16" s="325"/>
      <c r="I16" s="291">
        <f>+C16*1.2*2</f>
        <v>1200</v>
      </c>
      <c r="K16" s="291">
        <f>+E16*1.1*3</f>
        <v>708.18000000000006</v>
      </c>
      <c r="M16" s="291">
        <v>708.18000000000006</v>
      </c>
      <c r="O16" s="291">
        <v>1200</v>
      </c>
      <c r="Q16" s="291">
        <f>+E16*3</f>
        <v>643.79999999999995</v>
      </c>
      <c r="R16" s="347">
        <f>+Q16/308584.74</f>
        <v>2.0862988882729585E-3</v>
      </c>
      <c r="S16" s="291">
        <f t="shared" si="4"/>
        <v>675.99</v>
      </c>
      <c r="U16" s="291">
        <f>300000*R16</f>
        <v>625.88966648188762</v>
      </c>
      <c r="W16" s="291">
        <f t="shared" si="5"/>
        <v>625.88966648188762</v>
      </c>
    </row>
    <row r="17" spans="2:23" x14ac:dyDescent="0.35">
      <c r="B17" s="225" t="s">
        <v>21</v>
      </c>
      <c r="C17" s="228">
        <v>500</v>
      </c>
      <c r="E17" s="291">
        <v>79.64</v>
      </c>
      <c r="G17" s="325"/>
      <c r="I17" s="291">
        <f>+C17*1.2*2</f>
        <v>1200</v>
      </c>
      <c r="K17" s="291">
        <f>+E17*1.1*3</f>
        <v>262.81200000000001</v>
      </c>
      <c r="M17" s="291">
        <v>262.81200000000001</v>
      </c>
      <c r="O17" s="291">
        <v>1200</v>
      </c>
      <c r="Q17" s="291">
        <f>+E17*3</f>
        <v>238.92000000000002</v>
      </c>
      <c r="R17" s="347">
        <f>+Q17/308584.74</f>
        <v>7.7424437773559388E-4</v>
      </c>
      <c r="S17" s="291">
        <f t="shared" si="4"/>
        <v>250.86600000000001</v>
      </c>
      <c r="U17" s="291">
        <f>300000*R17</f>
        <v>232.27331332067817</v>
      </c>
      <c r="W17" s="291">
        <f t="shared" si="5"/>
        <v>232.27331332067817</v>
      </c>
    </row>
    <row r="18" spans="2:23" x14ac:dyDescent="0.35">
      <c r="B18" s="225" t="s">
        <v>27</v>
      </c>
      <c r="C18" s="228">
        <v>11600</v>
      </c>
      <c r="E18" s="291">
        <v>3377.14</v>
      </c>
      <c r="G18" s="325"/>
      <c r="I18" s="291">
        <f>+E18*1.2*2*3</f>
        <v>24315.407999999999</v>
      </c>
      <c r="K18" s="291">
        <f>+E18*2*1.1*3</f>
        <v>22289.124000000003</v>
      </c>
      <c r="M18" s="291">
        <v>22289.124000000003</v>
      </c>
      <c r="O18" s="291">
        <v>24315.407999999999</v>
      </c>
      <c r="Q18" s="291">
        <f>+C18*2</f>
        <v>23200</v>
      </c>
      <c r="R18" s="347">
        <f>+Q18/308584.74</f>
        <v>7.5181941919746267E-2</v>
      </c>
      <c r="S18" s="291">
        <f t="shared" si="4"/>
        <v>24360</v>
      </c>
      <c r="U18" s="291">
        <f>300000*R18</f>
        <v>22554.58257592388</v>
      </c>
      <c r="W18" s="291">
        <f t="shared" si="5"/>
        <v>22554.58257592388</v>
      </c>
    </row>
    <row r="19" spans="2:23" x14ac:dyDescent="0.35">
      <c r="B19" s="225" t="s">
        <v>39</v>
      </c>
      <c r="C19" s="228">
        <v>48508.23</v>
      </c>
      <c r="E19" s="291">
        <v>33142</v>
      </c>
      <c r="G19" s="325"/>
      <c r="I19" s="291">
        <f>+E19*1.2*3</f>
        <v>119311.20000000001</v>
      </c>
      <c r="K19" s="291">
        <f>+E19*1.1*3</f>
        <v>109368.6</v>
      </c>
      <c r="M19" s="291">
        <v>109368.6</v>
      </c>
      <c r="O19" s="291">
        <v>119311.20000000001</v>
      </c>
      <c r="Q19" s="291">
        <f>+C19*2</f>
        <v>97016.46</v>
      </c>
      <c r="R19" s="347">
        <f>+Q19/308584.74</f>
        <v>0.31439163193876668</v>
      </c>
      <c r="S19" s="291">
        <f t="shared" si="4"/>
        <v>101867.28300000001</v>
      </c>
      <c r="U19" s="291">
        <f>300000*R19</f>
        <v>94317.489581629998</v>
      </c>
      <c r="W19" s="291">
        <f t="shared" si="5"/>
        <v>94317.489581629998</v>
      </c>
    </row>
    <row r="20" spans="2:23" x14ac:dyDescent="0.35">
      <c r="B20" s="225" t="s">
        <v>191</v>
      </c>
      <c r="C20" s="228">
        <v>8567.09</v>
      </c>
      <c r="E20" s="291">
        <v>12190.59</v>
      </c>
      <c r="G20" s="325"/>
      <c r="I20" s="291">
        <f>+E20*1.2*3</f>
        <v>43886.124000000003</v>
      </c>
      <c r="K20" s="291">
        <f>+E20*1.1*3</f>
        <v>40228.947</v>
      </c>
      <c r="M20" s="291">
        <v>40228.947</v>
      </c>
      <c r="O20" s="291">
        <v>43886.124000000003</v>
      </c>
      <c r="Q20" s="291">
        <f>+E20*3</f>
        <v>36571.770000000004</v>
      </c>
      <c r="R20" s="347">
        <f>+Q20/308584.74</f>
        <v>0.1185145124156172</v>
      </c>
      <c r="S20" s="291">
        <f t="shared" si="4"/>
        <v>38400.358500000009</v>
      </c>
      <c r="U20" s="291">
        <f>300000*R20</f>
        <v>35554.353724685156</v>
      </c>
      <c r="W20" s="291">
        <f t="shared" si="5"/>
        <v>35554.353724685156</v>
      </c>
    </row>
    <row r="21" spans="2:23" x14ac:dyDescent="0.35">
      <c r="B21" s="225" t="s">
        <v>23</v>
      </c>
      <c r="C21" s="228">
        <v>15567</v>
      </c>
      <c r="E21" s="291">
        <v>3405.29</v>
      </c>
      <c r="G21" s="325"/>
      <c r="I21" s="291">
        <f>+E21*1.2*2*3</f>
        <v>24518.088</v>
      </c>
      <c r="K21" s="291">
        <f>+E21*1.1*2*3</f>
        <v>22474.914000000004</v>
      </c>
      <c r="M21" s="291">
        <v>22474.914000000004</v>
      </c>
      <c r="O21" s="291">
        <v>24518.088</v>
      </c>
      <c r="Q21" s="291">
        <f>+E21*3</f>
        <v>10215.869999999999</v>
      </c>
      <c r="R21" s="347">
        <f>+Q21/308584.74</f>
        <v>3.310555797412406E-2</v>
      </c>
      <c r="S21" s="291">
        <f t="shared" si="4"/>
        <v>10726.663499999999</v>
      </c>
      <c r="U21" s="291">
        <f>300000*R21</f>
        <v>9931.6673922372174</v>
      </c>
      <c r="W21" s="291">
        <f t="shared" si="5"/>
        <v>9931.6673922372174</v>
      </c>
    </row>
    <row r="22" spans="2:23" ht="16" thickBot="1" x14ac:dyDescent="0.4">
      <c r="B22" s="231" t="s">
        <v>88</v>
      </c>
      <c r="C22" s="233">
        <v>21212.46</v>
      </c>
      <c r="E22" s="292">
        <v>6846.42</v>
      </c>
      <c r="G22" s="325"/>
      <c r="I22" s="292">
        <f>+E22*1.2*2*3</f>
        <v>49294.224000000002</v>
      </c>
      <c r="K22" s="292">
        <f>+E22*1.1*2*3</f>
        <v>45186.372000000003</v>
      </c>
      <c r="M22" s="292">
        <v>45186.372000000003</v>
      </c>
      <c r="O22" s="292">
        <v>49294.224000000002</v>
      </c>
      <c r="Q22" s="292">
        <f>+E22*3</f>
        <v>20539.260000000002</v>
      </c>
      <c r="R22" s="347">
        <f>+Q22/308584.74</f>
        <v>6.655954536183481E-2</v>
      </c>
      <c r="S22" s="292">
        <f t="shared" si="4"/>
        <v>21566.223000000002</v>
      </c>
      <c r="U22" s="292">
        <f>300000*R22</f>
        <v>19967.863608550444</v>
      </c>
      <c r="W22" s="292">
        <f t="shared" si="5"/>
        <v>19967.863608550444</v>
      </c>
    </row>
    <row r="23" spans="2:23" ht="16.5" thickTop="1" thickBot="1" x14ac:dyDescent="0.4">
      <c r="B23" s="234" t="s">
        <v>129</v>
      </c>
      <c r="C23" s="236">
        <f>SUM(C10:C22)</f>
        <v>168291.74400000001</v>
      </c>
      <c r="E23" s="293">
        <v>124719.01999999999</v>
      </c>
      <c r="G23" s="325"/>
      <c r="I23" s="293">
        <f>SUM(I10:I22)</f>
        <v>395300.43839999998</v>
      </c>
      <c r="K23" s="293">
        <f>SUM(K10:K22)</f>
        <v>361333.47719999996</v>
      </c>
      <c r="M23" s="293">
        <v>361333.47719999996</v>
      </c>
      <c r="O23" s="293">
        <v>395300.43839999998</v>
      </c>
      <c r="Q23" s="293">
        <f>SUM(Q10:Q22)</f>
        <v>308584.74200000003</v>
      </c>
      <c r="S23" s="293">
        <f>SUM(S10:S22)</f>
        <v>324013.97910000006</v>
      </c>
      <c r="U23" s="293">
        <f>SUM(U10:U22)</f>
        <v>300000.00194436061</v>
      </c>
      <c r="W23" s="293">
        <f>SUM(W10:W22)</f>
        <v>300000.00194436061</v>
      </c>
    </row>
    <row r="24" spans="2:23" ht="5.5" customHeight="1" thickBot="1" x14ac:dyDescent="0.4">
      <c r="G24" s="325"/>
    </row>
    <row r="25" spans="2:23" ht="16" thickBot="1" x14ac:dyDescent="0.4">
      <c r="B25" s="238" t="s">
        <v>119</v>
      </c>
      <c r="C25" s="307">
        <f>+C7-C23</f>
        <v>114813.19599999994</v>
      </c>
      <c r="D25" s="305"/>
      <c r="E25" s="306">
        <v>96936.860000000015</v>
      </c>
      <c r="G25" s="325"/>
      <c r="I25" s="311">
        <f>+I7-I23</f>
        <v>-45300.438399999985</v>
      </c>
      <c r="K25" s="306">
        <f>+K7-K23</f>
        <v>12666.522800000035</v>
      </c>
      <c r="M25" s="311">
        <f>+M7-M23</f>
        <v>-11333.477199999965</v>
      </c>
      <c r="O25" s="311">
        <f>+O7-O23</f>
        <v>-21300.438399999985</v>
      </c>
      <c r="Q25" s="306">
        <f>+Q7-Q23</f>
        <v>65415.257999999973</v>
      </c>
      <c r="S25" s="306">
        <f>+S7-S23</f>
        <v>25986.020899999945</v>
      </c>
      <c r="U25" s="306">
        <f>+U7-U23</f>
        <v>49999.998055639386</v>
      </c>
      <c r="W25" s="306">
        <v>49999.998055639386</v>
      </c>
    </row>
    <row r="26" spans="2:23" ht="16" thickBot="1" x14ac:dyDescent="0.4">
      <c r="G26" s="325"/>
    </row>
    <row r="27" spans="2:23" x14ac:dyDescent="0.35">
      <c r="B27" s="241" t="s">
        <v>131</v>
      </c>
      <c r="C27" s="243" t="s">
        <v>127</v>
      </c>
      <c r="E27" s="294" t="s">
        <v>204</v>
      </c>
      <c r="G27" s="325"/>
      <c r="I27" s="294" t="s">
        <v>240</v>
      </c>
      <c r="K27" s="294" t="s">
        <v>239</v>
      </c>
      <c r="M27" s="294" t="s">
        <v>240</v>
      </c>
      <c r="O27" s="294" t="s">
        <v>239</v>
      </c>
      <c r="Q27" s="294" t="s">
        <v>239</v>
      </c>
      <c r="S27" s="294" t="s">
        <v>240</v>
      </c>
      <c r="U27" s="294" t="s">
        <v>240</v>
      </c>
      <c r="W27" s="294" t="s">
        <v>240</v>
      </c>
    </row>
    <row r="28" spans="2:23" x14ac:dyDescent="0.35">
      <c r="B28" s="245" t="s">
        <v>17</v>
      </c>
      <c r="C28" s="247">
        <v>57588</v>
      </c>
      <c r="E28" s="295">
        <v>30817.87</v>
      </c>
      <c r="G28" s="325"/>
      <c r="I28" s="295">
        <f>27000*12</f>
        <v>324000</v>
      </c>
      <c r="K28" s="295">
        <f>30000*12</f>
        <v>360000</v>
      </c>
      <c r="M28" s="295">
        <f>27000*12</f>
        <v>324000</v>
      </c>
      <c r="O28" s="295">
        <v>360000</v>
      </c>
      <c r="Q28" s="295">
        <v>360000</v>
      </c>
      <c r="S28" s="295">
        <v>324000</v>
      </c>
      <c r="U28" s="295">
        <v>324000</v>
      </c>
      <c r="W28" s="295">
        <v>324000</v>
      </c>
    </row>
    <row r="29" spans="2:23" x14ac:dyDescent="0.35">
      <c r="B29" s="245" t="s">
        <v>15</v>
      </c>
      <c r="C29" s="247">
        <v>9.9999999999999995E-7</v>
      </c>
      <c r="E29" s="295">
        <v>155</v>
      </c>
      <c r="G29" s="325"/>
      <c r="I29" s="295">
        <v>0</v>
      </c>
      <c r="K29" s="295">
        <v>0</v>
      </c>
      <c r="M29" s="295">
        <v>0</v>
      </c>
      <c r="O29" s="295">
        <v>0</v>
      </c>
      <c r="Q29" s="295">
        <v>0</v>
      </c>
      <c r="S29" s="295">
        <v>0</v>
      </c>
      <c r="U29" s="295">
        <v>0</v>
      </c>
      <c r="W29" s="295">
        <v>0</v>
      </c>
    </row>
    <row r="30" spans="2:23" ht="16" thickBot="1" x14ac:dyDescent="0.4">
      <c r="B30" s="249" t="s">
        <v>242</v>
      </c>
      <c r="C30" s="251">
        <v>84076.800000000003</v>
      </c>
      <c r="E30" s="296">
        <v>0</v>
      </c>
      <c r="G30" s="325"/>
      <c r="I30" s="296">
        <v>80000</v>
      </c>
      <c r="K30" s="296">
        <v>80000</v>
      </c>
      <c r="M30" s="296">
        <v>80000</v>
      </c>
      <c r="O30" s="296">
        <v>80000</v>
      </c>
      <c r="Q30" s="296">
        <v>80000</v>
      </c>
      <c r="S30" s="296">
        <v>80000</v>
      </c>
      <c r="U30" s="296">
        <v>80000</v>
      </c>
      <c r="W30" s="296">
        <v>80000</v>
      </c>
    </row>
    <row r="31" spans="2:23" ht="16.5" thickTop="1" thickBot="1" x14ac:dyDescent="0.4">
      <c r="B31" s="252" t="s">
        <v>133</v>
      </c>
      <c r="C31" s="254">
        <f>SUM(C28:C30)</f>
        <v>141664.800001</v>
      </c>
      <c r="E31" s="297">
        <v>115049.67</v>
      </c>
      <c r="G31" s="325"/>
      <c r="I31" s="297">
        <f>SUM(I28:I30)</f>
        <v>404000</v>
      </c>
      <c r="K31" s="297">
        <f>SUM(K28:K30)</f>
        <v>440000</v>
      </c>
      <c r="M31" s="297">
        <f>SUM(M28:M30)</f>
        <v>404000</v>
      </c>
      <c r="O31" s="297">
        <v>440000</v>
      </c>
      <c r="Q31" s="297">
        <v>440000</v>
      </c>
      <c r="S31" s="297">
        <v>404000</v>
      </c>
      <c r="U31" s="297">
        <v>404000</v>
      </c>
      <c r="W31" s="297">
        <v>404000</v>
      </c>
    </row>
    <row r="32" spans="2:23" ht="5.5" customHeight="1" thickBot="1" x14ac:dyDescent="0.4">
      <c r="B32" s="218"/>
      <c r="C32" s="218"/>
      <c r="E32" s="218"/>
      <c r="G32" s="325"/>
      <c r="I32" s="218"/>
      <c r="K32" s="218"/>
      <c r="M32" s="218"/>
      <c r="O32" s="218"/>
      <c r="Q32" s="218"/>
      <c r="S32" s="218"/>
      <c r="U32" s="218"/>
      <c r="W32" s="218"/>
    </row>
    <row r="33" spans="2:23" x14ac:dyDescent="0.35">
      <c r="B33" s="256" t="s">
        <v>134</v>
      </c>
      <c r="C33" s="258" t="s">
        <v>127</v>
      </c>
      <c r="E33" s="298" t="s">
        <v>204</v>
      </c>
      <c r="G33" s="325"/>
      <c r="I33" s="298" t="s">
        <v>240</v>
      </c>
      <c r="K33" s="298" t="s">
        <v>239</v>
      </c>
      <c r="M33" s="298" t="s">
        <v>239</v>
      </c>
      <c r="O33" s="298" t="s">
        <v>240</v>
      </c>
      <c r="Q33" s="298" t="s">
        <v>252</v>
      </c>
      <c r="S33" s="298" t="s">
        <v>254</v>
      </c>
      <c r="U33" s="298" t="s">
        <v>260</v>
      </c>
      <c r="W33" s="298" t="s">
        <v>261</v>
      </c>
    </row>
    <row r="34" spans="2:23" x14ac:dyDescent="0.35">
      <c r="B34" s="260" t="s">
        <v>264</v>
      </c>
      <c r="C34" s="263">
        <v>45000</v>
      </c>
      <c r="E34" s="299">
        <v>-1619.79</v>
      </c>
      <c r="G34" s="325"/>
      <c r="I34" s="299">
        <f>60000*1.2</f>
        <v>72000</v>
      </c>
      <c r="K34" s="299">
        <f>60000*1.1</f>
        <v>66000</v>
      </c>
      <c r="M34" s="299">
        <v>66000</v>
      </c>
      <c r="O34" s="299">
        <v>72000</v>
      </c>
      <c r="Q34" s="299">
        <v>70000</v>
      </c>
      <c r="S34" s="299">
        <f>+Q34*1.05</f>
        <v>73500</v>
      </c>
      <c r="U34" s="348">
        <f>+$U$28*U51</f>
        <v>162000</v>
      </c>
      <c r="W34" s="348">
        <f>+$U$28*W51</f>
        <v>145800</v>
      </c>
    </row>
    <row r="35" spans="2:23" x14ac:dyDescent="0.35">
      <c r="B35" s="260" t="s">
        <v>136</v>
      </c>
      <c r="C35" s="263">
        <v>30000</v>
      </c>
      <c r="E35" s="299">
        <v>12469.47</v>
      </c>
      <c r="G35" s="325"/>
      <c r="I35" s="299">
        <f>+E35*1.2*3</f>
        <v>44890.09199999999</v>
      </c>
      <c r="K35" s="299">
        <f>+E35*1.1*3</f>
        <v>41149.251000000004</v>
      </c>
      <c r="M35" s="299">
        <v>41149.251000000004</v>
      </c>
      <c r="O35" s="299">
        <v>44890.09199999999</v>
      </c>
      <c r="Q35" s="299">
        <f>+E35*3</f>
        <v>37408.409999999996</v>
      </c>
      <c r="S35" s="299">
        <f t="shared" ref="S35:S44" si="6">+Q35*1.05</f>
        <v>39278.830499999996</v>
      </c>
      <c r="U35" s="348"/>
      <c r="W35" s="348"/>
    </row>
    <row r="36" spans="2:23" x14ac:dyDescent="0.35">
      <c r="B36" s="260" t="s">
        <v>135</v>
      </c>
      <c r="C36" s="263">
        <v>6000</v>
      </c>
      <c r="E36" s="299">
        <v>0</v>
      </c>
      <c r="G36" s="325"/>
      <c r="I36" s="299">
        <f>+C36*2</f>
        <v>12000</v>
      </c>
      <c r="K36" s="299">
        <f>+C36*2*0.8</f>
        <v>9600</v>
      </c>
      <c r="M36" s="299">
        <v>9600</v>
      </c>
      <c r="O36" s="299">
        <v>12000</v>
      </c>
      <c r="Q36" s="299">
        <v>12000</v>
      </c>
      <c r="S36" s="299">
        <f t="shared" si="6"/>
        <v>12600</v>
      </c>
      <c r="U36" s="348"/>
      <c r="W36" s="348"/>
    </row>
    <row r="37" spans="2:23" x14ac:dyDescent="0.35">
      <c r="B37" s="260" t="s">
        <v>140</v>
      </c>
      <c r="C37" s="263">
        <v>24000</v>
      </c>
      <c r="E37" s="299">
        <v>15631.099999999997</v>
      </c>
      <c r="G37" s="325"/>
      <c r="I37" s="299">
        <f>+E37*1.2*3</f>
        <v>56271.959999999992</v>
      </c>
      <c r="K37" s="299">
        <f>+E37*1.1*3</f>
        <v>51582.63</v>
      </c>
      <c r="M37" s="299">
        <v>51582.63</v>
      </c>
      <c r="O37" s="299">
        <v>56271.959999999992</v>
      </c>
      <c r="Q37" s="299">
        <f>+E37*3</f>
        <v>46893.299999999988</v>
      </c>
      <c r="S37" s="299">
        <f t="shared" si="6"/>
        <v>49237.964999999989</v>
      </c>
      <c r="U37" s="348"/>
      <c r="W37" s="348"/>
    </row>
    <row r="38" spans="2:23" x14ac:dyDescent="0.35">
      <c r="B38" s="265" t="s">
        <v>87</v>
      </c>
      <c r="C38" s="268">
        <v>2700</v>
      </c>
      <c r="E38" s="299">
        <v>0</v>
      </c>
      <c r="G38" s="325"/>
      <c r="I38" s="299">
        <f>+C38*2</f>
        <v>5400</v>
      </c>
      <c r="K38" s="299">
        <f>+C38*2*0.8</f>
        <v>4320</v>
      </c>
      <c r="M38" s="299">
        <v>4320</v>
      </c>
      <c r="O38" s="300">
        <v>5400</v>
      </c>
      <c r="Q38" s="299">
        <v>5400</v>
      </c>
      <c r="S38" s="300">
        <f t="shared" si="6"/>
        <v>5670</v>
      </c>
      <c r="U38" s="349"/>
      <c r="W38" s="349"/>
    </row>
    <row r="39" spans="2:23" x14ac:dyDescent="0.35">
      <c r="B39" s="265" t="s">
        <v>143</v>
      </c>
      <c r="C39" s="268">
        <v>16000</v>
      </c>
      <c r="E39" s="345">
        <v>12329</v>
      </c>
      <c r="G39" s="325"/>
      <c r="I39" s="346">
        <f>+C39*3*1.2</f>
        <v>57600</v>
      </c>
      <c r="K39" s="346">
        <f>+E39*3*1.1</f>
        <v>40685.700000000004</v>
      </c>
      <c r="M39" s="345">
        <v>40685.700000000004</v>
      </c>
      <c r="O39" s="299">
        <v>57600</v>
      </c>
      <c r="Q39" s="345">
        <f>+E39*3</f>
        <v>36987</v>
      </c>
      <c r="S39" s="299">
        <f t="shared" si="6"/>
        <v>38836.35</v>
      </c>
      <c r="U39" s="346">
        <f>+U28*U52</f>
        <v>48600</v>
      </c>
      <c r="W39" s="346">
        <f>+W28*W52</f>
        <v>32400</v>
      </c>
    </row>
    <row r="40" spans="2:23" x14ac:dyDescent="0.35">
      <c r="B40" s="260" t="s">
        <v>38</v>
      </c>
      <c r="C40" s="263">
        <v>24520</v>
      </c>
      <c r="E40" s="299">
        <v>12806.4</v>
      </c>
      <c r="G40" s="325"/>
      <c r="I40" s="346">
        <f>+C40*1.2*3</f>
        <v>88272</v>
      </c>
      <c r="K40" s="346">
        <f>+C40*1.1*3</f>
        <v>80916.000000000015</v>
      </c>
      <c r="M40" s="299">
        <v>80916.000000000015</v>
      </c>
      <c r="O40" s="346">
        <v>88272</v>
      </c>
      <c r="Q40" s="299">
        <f>+C40*3</f>
        <v>73560</v>
      </c>
      <c r="S40" s="346">
        <f t="shared" si="6"/>
        <v>77238</v>
      </c>
      <c r="U40" s="350">
        <f>+U28*U53</f>
        <v>113400</v>
      </c>
      <c r="W40" s="350">
        <f>+W28*W53</f>
        <v>145800</v>
      </c>
    </row>
    <row r="41" spans="2:23" x14ac:dyDescent="0.35">
      <c r="B41" s="260" t="s">
        <v>138</v>
      </c>
      <c r="C41" s="263">
        <v>7500</v>
      </c>
      <c r="E41" s="299">
        <v>4500</v>
      </c>
      <c r="G41" s="325"/>
      <c r="I41" s="299">
        <f>+C41*2</f>
        <v>15000</v>
      </c>
      <c r="K41" s="299">
        <f>+C41*2</f>
        <v>15000</v>
      </c>
      <c r="M41" s="299">
        <v>15000</v>
      </c>
      <c r="O41" s="299">
        <v>15000</v>
      </c>
      <c r="Q41" s="299">
        <v>15000</v>
      </c>
      <c r="S41" s="299">
        <f t="shared" si="6"/>
        <v>15750</v>
      </c>
      <c r="U41" s="348"/>
      <c r="W41" s="348"/>
    </row>
    <row r="42" spans="2:23" x14ac:dyDescent="0.35">
      <c r="B42" s="260" t="s">
        <v>137</v>
      </c>
      <c r="C42" s="263">
        <v>5567.7</v>
      </c>
      <c r="E42" s="299">
        <v>2768.5</v>
      </c>
      <c r="G42" s="325"/>
      <c r="I42" s="299">
        <f>+C42*2</f>
        <v>11135.4</v>
      </c>
      <c r="K42" s="299">
        <f>+C42*2</f>
        <v>11135.4</v>
      </c>
      <c r="M42" s="299">
        <v>11135.4</v>
      </c>
      <c r="O42" s="299">
        <v>11135.4</v>
      </c>
      <c r="Q42" s="299">
        <v>10000</v>
      </c>
      <c r="S42" s="299">
        <f t="shared" si="6"/>
        <v>10500</v>
      </c>
      <c r="U42" s="348"/>
      <c r="W42" s="348"/>
    </row>
    <row r="43" spans="2:23" x14ac:dyDescent="0.35">
      <c r="B43" s="260" t="s">
        <v>139</v>
      </c>
      <c r="C43" s="263">
        <v>5567.7</v>
      </c>
      <c r="E43" s="299">
        <v>0</v>
      </c>
      <c r="G43" s="325"/>
      <c r="I43" s="299">
        <f>+C43*2</f>
        <v>11135.4</v>
      </c>
      <c r="K43" s="299">
        <f>+C43*2</f>
        <v>11135.4</v>
      </c>
      <c r="M43" s="299">
        <v>11135.4</v>
      </c>
      <c r="O43" s="299">
        <v>11135.4</v>
      </c>
      <c r="Q43" s="299">
        <v>10000</v>
      </c>
      <c r="S43" s="299">
        <f t="shared" si="6"/>
        <v>10500</v>
      </c>
      <c r="U43" s="348"/>
      <c r="W43" s="348"/>
    </row>
    <row r="44" spans="2:23" ht="16" thickBot="1" x14ac:dyDescent="0.4">
      <c r="B44" s="269" t="s">
        <v>187</v>
      </c>
      <c r="C44" s="272">
        <v>24520</v>
      </c>
      <c r="E44" s="301">
        <v>18000</v>
      </c>
      <c r="G44" s="325"/>
      <c r="I44" s="301">
        <f>+C44*2</f>
        <v>49040</v>
      </c>
      <c r="K44" s="301">
        <f>+C44*2</f>
        <v>49040</v>
      </c>
      <c r="M44" s="301">
        <v>49040</v>
      </c>
      <c r="O44" s="301">
        <v>49040</v>
      </c>
      <c r="Q44" s="301">
        <v>50000</v>
      </c>
      <c r="S44" s="301">
        <f t="shared" si="6"/>
        <v>52500</v>
      </c>
      <c r="U44" s="351"/>
      <c r="W44" s="351"/>
    </row>
    <row r="45" spans="2:23" ht="16.5" thickTop="1" thickBot="1" x14ac:dyDescent="0.4">
      <c r="B45" s="273" t="s">
        <v>129</v>
      </c>
      <c r="C45" s="275">
        <f>SUM(C34:C44)</f>
        <v>191375.40000000002</v>
      </c>
      <c r="E45" s="302">
        <v>76884.679999999993</v>
      </c>
      <c r="G45" s="325"/>
      <c r="I45" s="302">
        <f>SUM(I34:I44)</f>
        <v>422744.85200000001</v>
      </c>
      <c r="K45" s="302">
        <f>SUM(K34:K44)</f>
        <v>380564.38100000005</v>
      </c>
      <c r="M45" s="302">
        <v>380564.38100000005</v>
      </c>
      <c r="O45" s="302">
        <v>422744.85200000001</v>
      </c>
      <c r="Q45" s="302">
        <f>SUM(Q34:Q44)</f>
        <v>367248.70999999996</v>
      </c>
      <c r="S45" s="302">
        <f>SUM(S34:S44)</f>
        <v>385611.14549999998</v>
      </c>
      <c r="U45" s="302">
        <f>SUM(U34:U44)</f>
        <v>324000</v>
      </c>
      <c r="W45" s="302">
        <f>SUM(W34:W44)</f>
        <v>324000</v>
      </c>
    </row>
    <row r="46" spans="2:23" ht="5.5" customHeight="1" thickBot="1" x14ac:dyDescent="0.4">
      <c r="G46" s="325"/>
    </row>
    <row r="47" spans="2:23" ht="16" thickBot="1" x14ac:dyDescent="0.4">
      <c r="B47" s="238" t="s">
        <v>197</v>
      </c>
      <c r="C47" s="308">
        <f>+C31-C45</f>
        <v>-49710.599999000027</v>
      </c>
      <c r="D47" s="305"/>
      <c r="E47" s="306">
        <v>38164.990000000005</v>
      </c>
      <c r="G47" s="325"/>
      <c r="I47" s="311">
        <f>+I31-I45</f>
        <v>-18744.852000000014</v>
      </c>
      <c r="K47" s="306">
        <f>+K31-K45</f>
        <v>59435.618999999948</v>
      </c>
      <c r="M47" s="306">
        <f>+M31-M45</f>
        <v>23435.618999999948</v>
      </c>
      <c r="N47" s="324"/>
      <c r="O47" s="306">
        <f>+O31-O45</f>
        <v>17255.147999999986</v>
      </c>
      <c r="P47" s="324"/>
      <c r="Q47" s="306">
        <f>+Q31-Q45</f>
        <v>72751.290000000037</v>
      </c>
      <c r="S47" s="306">
        <f>+S31-S45</f>
        <v>18388.854500000016</v>
      </c>
      <c r="T47" s="324"/>
      <c r="U47" s="306">
        <f>+U31-U45</f>
        <v>80000</v>
      </c>
      <c r="V47" s="324"/>
      <c r="W47" s="306">
        <f>+W31-W45</f>
        <v>80000</v>
      </c>
    </row>
    <row r="48" spans="2:23" ht="16" thickBot="1" x14ac:dyDescent="0.4">
      <c r="G48" s="325"/>
    </row>
    <row r="49" spans="2:23" ht="16" thickBot="1" x14ac:dyDescent="0.4">
      <c r="B49" s="278" t="s">
        <v>193</v>
      </c>
      <c r="C49" s="309">
        <f>+C25+C47</f>
        <v>65102.596000999911</v>
      </c>
      <c r="E49" s="310">
        <v>135101.85000000003</v>
      </c>
      <c r="G49" s="325"/>
      <c r="I49" s="322">
        <f>+I25+I47</f>
        <v>-64045.290399999998</v>
      </c>
      <c r="K49" s="310">
        <f>+K25+K47</f>
        <v>72102.141799999983</v>
      </c>
      <c r="M49" s="310">
        <f>+M25+M47</f>
        <v>12102.141799999983</v>
      </c>
      <c r="O49" s="322">
        <f>+O25+O47</f>
        <v>-4045.290399999998</v>
      </c>
      <c r="Q49" s="310">
        <f>+Q25+Q47</f>
        <v>138166.54800000001</v>
      </c>
      <c r="S49" s="310">
        <f>+S25+S47</f>
        <v>44374.875399999961</v>
      </c>
      <c r="U49" s="310">
        <f>+U25+U47</f>
        <v>129999.99805563939</v>
      </c>
      <c r="W49" s="310">
        <f>+W25+W47</f>
        <v>129999.99805563939</v>
      </c>
    </row>
    <row r="51" spans="2:23" x14ac:dyDescent="0.35">
      <c r="B51" s="193" t="s">
        <v>257</v>
      </c>
      <c r="C51" s="347">
        <f>+SUM(C34:C38)/C45</f>
        <v>0.56276825548111198</v>
      </c>
      <c r="E51" s="347">
        <f>+SUM(E34:E38)/E45</f>
        <v>0.34442206171632633</v>
      </c>
      <c r="I51" s="347">
        <f>+SUM(I34:I38)/I45</f>
        <v>0.45077320539434967</v>
      </c>
      <c r="K51" s="347">
        <f>+SUM(K34:K38)/K45</f>
        <v>0.45367325377726292</v>
      </c>
      <c r="M51" s="347">
        <f>+SUM(M34:M38)/M45</f>
        <v>0.45367325377726292</v>
      </c>
      <c r="O51" s="347">
        <f>+SUM(O34:O38)/O45</f>
        <v>0.45077320539434967</v>
      </c>
      <c r="Q51" s="347">
        <f>+SUM(Q34:Q38)/Q45</f>
        <v>0.4675352297357287</v>
      </c>
      <c r="S51" s="347">
        <f>+SUM(S34:S38)/S45</f>
        <v>0.46753522973572864</v>
      </c>
      <c r="U51" s="347">
        <v>0.5</v>
      </c>
      <c r="W51" s="347">
        <v>0.45</v>
      </c>
    </row>
    <row r="52" spans="2:23" x14ac:dyDescent="0.35">
      <c r="B52" s="193" t="s">
        <v>258</v>
      </c>
      <c r="C52" s="347">
        <f>+C39/C45</f>
        <v>8.360531186348924E-2</v>
      </c>
      <c r="E52" s="347">
        <f>+E39/E45</f>
        <v>0.1603570438219942</v>
      </c>
      <c r="I52" s="347">
        <f>+I39/I45</f>
        <v>0.13625239840886341</v>
      </c>
      <c r="K52" s="347">
        <f>+K39/K45</f>
        <v>0.10690884914949515</v>
      </c>
      <c r="M52" s="347">
        <f>+M39/M45</f>
        <v>0.10690884914949515</v>
      </c>
      <c r="O52" s="347">
        <f>+O39/O45</f>
        <v>0.13625239840886341</v>
      </c>
      <c r="Q52" s="347">
        <f>+Q39/Q45</f>
        <v>0.10071376424984585</v>
      </c>
      <c r="S52" s="347">
        <f>+S39/S45</f>
        <v>0.10071376424984584</v>
      </c>
      <c r="U52" s="347">
        <v>0.15</v>
      </c>
      <c r="W52" s="347">
        <v>0.1</v>
      </c>
    </row>
    <row r="53" spans="2:23" x14ac:dyDescent="0.35">
      <c r="B53" s="193" t="s">
        <v>259</v>
      </c>
      <c r="C53" s="347">
        <f>+(SUM(C40:C44)/C45)</f>
        <v>0.35362643265539867</v>
      </c>
      <c r="E53" s="347">
        <f>+(SUM(E40:E44)/E45)</f>
        <v>0.49522089446167955</v>
      </c>
      <c r="I53" s="347">
        <f>+(SUM(I40:I44)/I45)</f>
        <v>0.41297439619678677</v>
      </c>
      <c r="K53" s="347">
        <f>+(SUM(K40:K44)/K45)</f>
        <v>0.43941789707324175</v>
      </c>
      <c r="M53" s="347">
        <f>+(SUM(M40:M44)/M45)</f>
        <v>0.43941789707324175</v>
      </c>
      <c r="O53" s="347">
        <f>+(SUM(O40:O44)/O45)</f>
        <v>0.41297439619678677</v>
      </c>
      <c r="Q53" s="347">
        <f>+(SUM(Q40:Q44)/Q45)</f>
        <v>0.43175100601442551</v>
      </c>
      <c r="S53" s="347">
        <f>+(SUM(S40:S44)/S45)</f>
        <v>0.43175100601442551</v>
      </c>
      <c r="U53" s="347">
        <v>0.35</v>
      </c>
      <c r="W53" s="347">
        <v>0.45</v>
      </c>
    </row>
  </sheetData>
  <mergeCells count="6">
    <mergeCell ref="W34:W38"/>
    <mergeCell ref="W40:W44"/>
    <mergeCell ref="C1:E1"/>
    <mergeCell ref="U34:U38"/>
    <mergeCell ref="U40:U44"/>
    <mergeCell ref="I1:U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12 K12 K15 I18 K18 K36:K37 I36 Q15" formula="1"/>
    <ignoredError sqref="C51 C53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CF8A2-082C-44A1-8D92-25A15ABEB81A}">
  <sheetPr>
    <tabColor theme="9" tint="0.59999389629810485"/>
  </sheetPr>
  <dimension ref="B1:X53"/>
  <sheetViews>
    <sheetView showGridLines="0" tabSelected="1" zoomScaleNormal="100" workbookViewId="0">
      <selection activeCell="K17" sqref="K17"/>
    </sheetView>
  </sheetViews>
  <sheetFormatPr defaultRowHeight="15.5" x14ac:dyDescent="0.35"/>
  <cols>
    <col min="1" max="1" width="1.75" style="193" customWidth="1"/>
    <col min="2" max="2" width="58" style="193" bestFit="1" customWidth="1"/>
    <col min="3" max="3" width="28.08203125" style="193" hidden="1" customWidth="1"/>
    <col min="4" max="4" width="0.9140625" style="193" hidden="1" customWidth="1"/>
    <col min="5" max="5" width="29" style="193" hidden="1" customWidth="1"/>
    <col min="6" max="8" width="0.9140625" style="193" hidden="1" customWidth="1"/>
    <col min="9" max="9" width="35.83203125" style="193" hidden="1" customWidth="1"/>
    <col min="10" max="10" width="0.9140625" style="193" hidden="1" customWidth="1"/>
    <col min="11" max="11" width="33.33203125" style="193" bestFit="1" customWidth="1"/>
    <col min="12" max="12" width="0.9140625" style="193" customWidth="1"/>
    <col min="13" max="13" width="35.83203125" style="193" hidden="1" customWidth="1"/>
    <col min="14" max="14" width="0.9140625" style="193" hidden="1" customWidth="1"/>
    <col min="15" max="15" width="35.83203125" style="193" hidden="1" customWidth="1"/>
    <col min="16" max="16" width="0.9140625" style="193" hidden="1" customWidth="1"/>
    <col min="17" max="17" width="34" style="193" bestFit="1" customWidth="1"/>
    <col min="18" max="18" width="0.83203125" style="193" customWidth="1"/>
    <col min="19" max="19" width="35.83203125" style="193" hidden="1" customWidth="1"/>
    <col min="20" max="20" width="0.9140625" style="193" hidden="1" customWidth="1"/>
    <col min="21" max="21" width="42.58203125" style="193" bestFit="1" customWidth="1"/>
    <col min="22" max="22" width="0.9140625" style="193" customWidth="1"/>
    <col min="23" max="23" width="42.58203125" style="193" bestFit="1" customWidth="1"/>
    <col min="25" max="16384" width="8.6640625" style="193"/>
  </cols>
  <sheetData>
    <row r="1" spans="2:23" x14ac:dyDescent="0.35">
      <c r="B1" s="352"/>
      <c r="C1" s="353" t="s">
        <v>250</v>
      </c>
      <c r="D1" s="353"/>
      <c r="E1" s="353"/>
      <c r="F1" s="354"/>
      <c r="G1" s="354"/>
      <c r="H1" s="354"/>
      <c r="I1" s="355" t="s">
        <v>247</v>
      </c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6"/>
      <c r="W1" s="357"/>
    </row>
    <row r="2" spans="2:23" ht="16" thickBot="1" x14ac:dyDescent="0.4">
      <c r="B2" s="203"/>
      <c r="C2" s="358" t="s">
        <v>248</v>
      </c>
      <c r="D2" s="359"/>
      <c r="E2" s="358" t="s">
        <v>249</v>
      </c>
      <c r="F2" s="360"/>
      <c r="G2" s="361"/>
      <c r="H2" s="360"/>
      <c r="I2" s="362" t="s">
        <v>243</v>
      </c>
      <c r="J2" s="360"/>
      <c r="K2" s="362" t="s">
        <v>244</v>
      </c>
      <c r="L2" s="360"/>
      <c r="M2" s="362" t="s">
        <v>245</v>
      </c>
      <c r="N2" s="360"/>
      <c r="O2" s="362" t="s">
        <v>246</v>
      </c>
      <c r="P2" s="360"/>
      <c r="Q2" s="362" t="s">
        <v>251</v>
      </c>
      <c r="R2" s="360"/>
      <c r="S2" s="362" t="s">
        <v>253</v>
      </c>
      <c r="T2" s="360"/>
      <c r="U2" s="362" t="s">
        <v>256</v>
      </c>
      <c r="V2" s="360"/>
      <c r="W2" s="363" t="s">
        <v>262</v>
      </c>
    </row>
    <row r="3" spans="2:23" x14ac:dyDescent="0.35">
      <c r="B3" s="198" t="s">
        <v>124</v>
      </c>
      <c r="C3" s="200" t="s">
        <v>127</v>
      </c>
      <c r="D3" s="360"/>
      <c r="E3" s="286" t="s">
        <v>204</v>
      </c>
      <c r="F3" s="360"/>
      <c r="G3" s="361"/>
      <c r="H3" s="360"/>
      <c r="I3" s="286" t="s">
        <v>240</v>
      </c>
      <c r="J3" s="360"/>
      <c r="K3" s="286" t="s">
        <v>239</v>
      </c>
      <c r="L3" s="360"/>
      <c r="M3" s="286" t="s">
        <v>240</v>
      </c>
      <c r="N3" s="360"/>
      <c r="O3" s="286" t="s">
        <v>239</v>
      </c>
      <c r="P3" s="360"/>
      <c r="Q3" s="286" t="s">
        <v>239</v>
      </c>
      <c r="R3" s="360"/>
      <c r="S3" s="286" t="s">
        <v>240</v>
      </c>
      <c r="T3" s="360"/>
      <c r="U3" s="286" t="s">
        <v>240</v>
      </c>
      <c r="V3" s="360"/>
      <c r="W3" s="286" t="s">
        <v>240</v>
      </c>
    </row>
    <row r="4" spans="2:23" x14ac:dyDescent="0.35">
      <c r="B4" s="205" t="s">
        <v>123</v>
      </c>
      <c r="C4" s="208">
        <v>182019.02999999997</v>
      </c>
      <c r="D4" s="360"/>
      <c r="E4" s="287">
        <v>118500</v>
      </c>
      <c r="F4" s="360"/>
      <c r="G4" s="361"/>
      <c r="H4" s="360"/>
      <c r="I4" s="287">
        <f>25000*12</f>
        <v>300000</v>
      </c>
      <c r="J4" s="360"/>
      <c r="K4" s="287">
        <f>27000*12</f>
        <v>324000</v>
      </c>
      <c r="L4" s="360"/>
      <c r="M4" s="287">
        <f>25000*12</f>
        <v>300000</v>
      </c>
      <c r="N4" s="360"/>
      <c r="O4" s="287">
        <v>324000</v>
      </c>
      <c r="P4" s="360"/>
      <c r="Q4" s="287">
        <v>324000</v>
      </c>
      <c r="R4" s="360"/>
      <c r="S4" s="287">
        <v>300000</v>
      </c>
      <c r="T4" s="360"/>
      <c r="U4" s="287">
        <v>300000</v>
      </c>
      <c r="V4" s="360"/>
      <c r="W4" s="287">
        <v>300000</v>
      </c>
    </row>
    <row r="5" spans="2:23" x14ac:dyDescent="0.35">
      <c r="B5" s="205" t="s">
        <v>132</v>
      </c>
      <c r="C5" s="208">
        <v>1E-4</v>
      </c>
      <c r="D5" s="360"/>
      <c r="E5" s="287">
        <v>2069.9699999999998</v>
      </c>
      <c r="F5" s="360"/>
      <c r="G5" s="361"/>
      <c r="H5" s="360"/>
      <c r="I5" s="287">
        <v>0</v>
      </c>
      <c r="J5" s="360"/>
      <c r="K5" s="287">
        <v>0</v>
      </c>
      <c r="L5" s="360"/>
      <c r="M5" s="287">
        <v>0</v>
      </c>
      <c r="N5" s="360"/>
      <c r="O5" s="287">
        <v>0</v>
      </c>
      <c r="P5" s="360"/>
      <c r="Q5" s="287">
        <v>0</v>
      </c>
      <c r="R5" s="360"/>
      <c r="S5" s="287">
        <v>0</v>
      </c>
      <c r="T5" s="360"/>
      <c r="U5" s="287">
        <v>0</v>
      </c>
      <c r="V5" s="360"/>
      <c r="W5" s="287">
        <v>0</v>
      </c>
    </row>
    <row r="6" spans="2:23" ht="16" thickBot="1" x14ac:dyDescent="0.4">
      <c r="B6" s="210" t="s">
        <v>241</v>
      </c>
      <c r="C6" s="213">
        <v>101085.91</v>
      </c>
      <c r="D6" s="360"/>
      <c r="E6" s="288">
        <v>101085.91</v>
      </c>
      <c r="F6" s="360"/>
      <c r="G6" s="361"/>
      <c r="H6" s="360"/>
      <c r="I6" s="288">
        <v>50000</v>
      </c>
      <c r="J6" s="360"/>
      <c r="K6" s="288">
        <v>50000</v>
      </c>
      <c r="L6" s="360"/>
      <c r="M6" s="288">
        <v>50000</v>
      </c>
      <c r="N6" s="360"/>
      <c r="O6" s="288">
        <v>50000</v>
      </c>
      <c r="P6" s="360"/>
      <c r="Q6" s="288">
        <v>50000</v>
      </c>
      <c r="R6" s="360"/>
      <c r="S6" s="288">
        <v>50000</v>
      </c>
      <c r="T6" s="360"/>
      <c r="U6" s="288">
        <v>50000</v>
      </c>
      <c r="V6" s="360"/>
      <c r="W6" s="288">
        <v>50000</v>
      </c>
    </row>
    <row r="7" spans="2:23" ht="16.5" thickTop="1" thickBot="1" x14ac:dyDescent="0.4">
      <c r="B7" s="214" t="s">
        <v>128</v>
      </c>
      <c r="C7" s="216">
        <v>283104.93999999994</v>
      </c>
      <c r="D7" s="360"/>
      <c r="E7" s="289">
        <v>221655.88</v>
      </c>
      <c r="F7" s="360"/>
      <c r="G7" s="361"/>
      <c r="H7" s="360"/>
      <c r="I7" s="289">
        <f>SUM(I4:I6)</f>
        <v>350000</v>
      </c>
      <c r="J7" s="360"/>
      <c r="K7" s="289">
        <f>SUM(K4:K6)</f>
        <v>374000</v>
      </c>
      <c r="L7" s="360"/>
      <c r="M7" s="289">
        <f>SUM(M4:M6)</f>
        <v>350000</v>
      </c>
      <c r="N7" s="360"/>
      <c r="O7" s="289">
        <v>374000</v>
      </c>
      <c r="P7" s="360"/>
      <c r="Q7" s="289">
        <v>374000</v>
      </c>
      <c r="R7" s="360"/>
      <c r="S7" s="289">
        <v>350000</v>
      </c>
      <c r="T7" s="360"/>
      <c r="U7" s="289">
        <v>350000</v>
      </c>
      <c r="V7" s="360"/>
      <c r="W7" s="289">
        <v>350000</v>
      </c>
    </row>
    <row r="8" spans="2:23" ht="5.5" customHeight="1" thickBot="1" x14ac:dyDescent="0.4">
      <c r="B8" s="364"/>
      <c r="C8" s="365"/>
      <c r="D8" s="360"/>
      <c r="E8" s="365"/>
      <c r="F8" s="360"/>
      <c r="G8" s="361"/>
      <c r="H8" s="360"/>
      <c r="I8" s="365"/>
      <c r="J8" s="360"/>
      <c r="K8" s="365"/>
      <c r="L8" s="360"/>
      <c r="M8" s="365"/>
      <c r="N8" s="360"/>
      <c r="O8" s="365"/>
      <c r="P8" s="360"/>
      <c r="Q8" s="365"/>
      <c r="R8" s="360"/>
      <c r="S8" s="365"/>
      <c r="T8" s="360"/>
      <c r="U8" s="365"/>
      <c r="V8" s="360"/>
      <c r="W8" s="366"/>
    </row>
    <row r="9" spans="2:23" x14ac:dyDescent="0.35">
      <c r="B9" s="219" t="s">
        <v>130</v>
      </c>
      <c r="C9" s="221" t="s">
        <v>127</v>
      </c>
      <c r="D9" s="360"/>
      <c r="E9" s="290" t="s">
        <v>204</v>
      </c>
      <c r="F9" s="360"/>
      <c r="G9" s="361"/>
      <c r="H9" s="360"/>
      <c r="I9" s="290" t="s">
        <v>240</v>
      </c>
      <c r="J9" s="360"/>
      <c r="K9" s="290" t="s">
        <v>239</v>
      </c>
      <c r="L9" s="360"/>
      <c r="M9" s="290" t="s">
        <v>239</v>
      </c>
      <c r="N9" s="360"/>
      <c r="O9" s="290" t="s">
        <v>240</v>
      </c>
      <c r="P9" s="360"/>
      <c r="Q9" s="290" t="s">
        <v>252</v>
      </c>
      <c r="R9" s="360"/>
      <c r="S9" s="290" t="s">
        <v>255</v>
      </c>
      <c r="T9" s="360"/>
      <c r="U9" s="290" t="s">
        <v>263</v>
      </c>
      <c r="V9" s="360"/>
      <c r="W9" s="290" t="s">
        <v>263</v>
      </c>
    </row>
    <row r="10" spans="2:23" x14ac:dyDescent="0.35">
      <c r="B10" s="225" t="s">
        <v>25</v>
      </c>
      <c r="C10" s="228">
        <v>1333.2</v>
      </c>
      <c r="D10" s="360"/>
      <c r="E10" s="291">
        <v>0</v>
      </c>
      <c r="F10" s="360"/>
      <c r="G10" s="361"/>
      <c r="H10" s="360"/>
      <c r="I10" s="291">
        <f>+C10*1.2*3</f>
        <v>4799.5199999999995</v>
      </c>
      <c r="J10" s="360"/>
      <c r="K10" s="291">
        <f>+C10*1.1*3</f>
        <v>4399.5600000000004</v>
      </c>
      <c r="L10" s="360"/>
      <c r="M10" s="291">
        <v>4399.5600000000004</v>
      </c>
      <c r="N10" s="360"/>
      <c r="O10" s="291">
        <v>4799.5199999999995</v>
      </c>
      <c r="P10" s="360"/>
      <c r="Q10" s="291">
        <f>+C10*3</f>
        <v>3999.6000000000004</v>
      </c>
      <c r="R10" s="347">
        <f>+Q10/308584.74</f>
        <v>1.2961107538888671E-2</v>
      </c>
      <c r="S10" s="291">
        <f>+Q10*1.05</f>
        <v>4199.5800000000008</v>
      </c>
      <c r="T10" s="360"/>
      <c r="U10" s="291">
        <f t="shared" ref="U10:U11" si="0">300000*R10</f>
        <v>3888.3322616666014</v>
      </c>
      <c r="V10" s="360"/>
      <c r="W10" s="291">
        <f>+U10</f>
        <v>3888.3322616666014</v>
      </c>
    </row>
    <row r="11" spans="2:23" x14ac:dyDescent="0.35">
      <c r="B11" s="225" t="s">
        <v>26</v>
      </c>
      <c r="C11" s="228">
        <v>12102.244000000001</v>
      </c>
      <c r="D11" s="360"/>
      <c r="E11" s="291">
        <v>12079.29</v>
      </c>
      <c r="F11" s="360"/>
      <c r="G11" s="361"/>
      <c r="H11" s="360"/>
      <c r="I11" s="291">
        <f t="shared" ref="I11" si="1">+C11*1.2*3</f>
        <v>43568.078399999999</v>
      </c>
      <c r="J11" s="360"/>
      <c r="K11" s="291">
        <f t="shared" ref="K11" si="2">+C11*1.1*3</f>
        <v>39937.405200000008</v>
      </c>
      <c r="L11" s="360"/>
      <c r="M11" s="291">
        <v>39937.405200000008</v>
      </c>
      <c r="N11" s="360"/>
      <c r="O11" s="291">
        <v>43568.078399999999</v>
      </c>
      <c r="P11" s="360"/>
      <c r="Q11" s="291">
        <f t="shared" ref="Q11" si="3">+C11*3</f>
        <v>36306.732000000004</v>
      </c>
      <c r="R11" s="347">
        <f>+Q11/308584.74</f>
        <v>0.11765563002240488</v>
      </c>
      <c r="S11" s="291">
        <f t="shared" ref="S11:S22" si="4">+Q11*1.05</f>
        <v>38122.068600000006</v>
      </c>
      <c r="T11" s="360"/>
      <c r="U11" s="291">
        <f t="shared" si="0"/>
        <v>35296.689006721463</v>
      </c>
      <c r="V11" s="360"/>
      <c r="W11" s="291">
        <f t="shared" ref="W11:W22" si="5">+U11</f>
        <v>35296.689006721463</v>
      </c>
    </row>
    <row r="12" spans="2:23" x14ac:dyDescent="0.35">
      <c r="B12" s="225" t="s">
        <v>141</v>
      </c>
      <c r="C12" s="228">
        <v>30000</v>
      </c>
      <c r="D12" s="360"/>
      <c r="E12" s="291">
        <v>40949.94</v>
      </c>
      <c r="F12" s="360"/>
      <c r="G12" s="361"/>
      <c r="H12" s="360"/>
      <c r="I12" s="291">
        <f>+C12*1.2</f>
        <v>36000</v>
      </c>
      <c r="J12" s="360"/>
      <c r="K12" s="291">
        <f>+C12*1.1</f>
        <v>33000</v>
      </c>
      <c r="L12" s="360"/>
      <c r="M12" s="291">
        <v>33000</v>
      </c>
      <c r="N12" s="360"/>
      <c r="O12" s="291">
        <v>36000</v>
      </c>
      <c r="P12" s="360"/>
      <c r="Q12" s="291">
        <v>40000</v>
      </c>
      <c r="R12" s="347">
        <f>+Q12/308584.74</f>
        <v>0.12962403779266596</v>
      </c>
      <c r="S12" s="291">
        <f t="shared" si="4"/>
        <v>42000</v>
      </c>
      <c r="T12" s="360"/>
      <c r="U12" s="291">
        <f>300000*R12</f>
        <v>38887.211337799788</v>
      </c>
      <c r="V12" s="360"/>
      <c r="W12" s="291">
        <f t="shared" si="5"/>
        <v>38887.211337799788</v>
      </c>
    </row>
    <row r="13" spans="2:23" x14ac:dyDescent="0.35">
      <c r="B13" s="225" t="s">
        <v>115</v>
      </c>
      <c r="C13" s="228">
        <v>5868.66</v>
      </c>
      <c r="D13" s="360"/>
      <c r="E13" s="291">
        <v>1514.1100000000001</v>
      </c>
      <c r="F13" s="360"/>
      <c r="G13" s="361"/>
      <c r="H13" s="360"/>
      <c r="I13" s="291">
        <f>+E13*1.2*3</f>
        <v>5450.7960000000003</v>
      </c>
      <c r="J13" s="360"/>
      <c r="K13" s="291">
        <f>+E13*1.1*3</f>
        <v>4996.5630000000001</v>
      </c>
      <c r="L13" s="360"/>
      <c r="M13" s="291">
        <v>4996.5630000000001</v>
      </c>
      <c r="N13" s="360"/>
      <c r="O13" s="291">
        <v>5450.7960000000003</v>
      </c>
      <c r="P13" s="360"/>
      <c r="Q13" s="291">
        <f>+E13*3</f>
        <v>4542.33</v>
      </c>
      <c r="R13" s="347">
        <f>+Q13/308584.74</f>
        <v>1.4719878889669009E-2</v>
      </c>
      <c r="S13" s="291">
        <f t="shared" si="4"/>
        <v>4769.4465</v>
      </c>
      <c r="T13" s="360"/>
      <c r="U13" s="291">
        <f>300000*R13</f>
        <v>4415.9636669007032</v>
      </c>
      <c r="V13" s="360"/>
      <c r="W13" s="291">
        <f t="shared" si="5"/>
        <v>4415.9636669007032</v>
      </c>
    </row>
    <row r="14" spans="2:23" x14ac:dyDescent="0.35">
      <c r="B14" s="225" t="s">
        <v>188</v>
      </c>
      <c r="C14" s="228">
        <v>1732.86</v>
      </c>
      <c r="D14" s="360"/>
      <c r="E14" s="291">
        <v>2770</v>
      </c>
      <c r="F14" s="360"/>
      <c r="G14" s="361"/>
      <c r="H14" s="360"/>
      <c r="I14" s="291">
        <f>+E14*1.2*3</f>
        <v>9972</v>
      </c>
      <c r="J14" s="360"/>
      <c r="K14" s="291">
        <f>+E14*1.1*3</f>
        <v>9141.0000000000018</v>
      </c>
      <c r="L14" s="360"/>
      <c r="M14" s="291">
        <v>9141.0000000000018</v>
      </c>
      <c r="N14" s="360"/>
      <c r="O14" s="291">
        <v>9972</v>
      </c>
      <c r="P14" s="360"/>
      <c r="Q14" s="291">
        <f>+E14*3</f>
        <v>8310</v>
      </c>
      <c r="R14" s="347">
        <f>+Q14/308584.74</f>
        <v>2.6929393851426356E-2</v>
      </c>
      <c r="S14" s="291">
        <f t="shared" si="4"/>
        <v>8725.5</v>
      </c>
      <c r="T14" s="360"/>
      <c r="U14" s="291">
        <f>300000*R14</f>
        <v>8078.8181554279072</v>
      </c>
      <c r="V14" s="360"/>
      <c r="W14" s="291">
        <f t="shared" si="5"/>
        <v>8078.8181554279072</v>
      </c>
    </row>
    <row r="15" spans="2:23" x14ac:dyDescent="0.35">
      <c r="B15" s="225" t="s">
        <v>19</v>
      </c>
      <c r="C15" s="228">
        <v>10800</v>
      </c>
      <c r="D15" s="360"/>
      <c r="E15" s="291">
        <v>8150</v>
      </c>
      <c r="F15" s="360"/>
      <c r="G15" s="361"/>
      <c r="H15" s="360"/>
      <c r="I15" s="291">
        <f>+E15*1.3*3</f>
        <v>31785</v>
      </c>
      <c r="J15" s="360"/>
      <c r="K15" s="291">
        <f>+E15*1.2*3</f>
        <v>29340</v>
      </c>
      <c r="L15" s="360"/>
      <c r="M15" s="291">
        <v>29340</v>
      </c>
      <c r="N15" s="360"/>
      <c r="O15" s="291">
        <v>31785</v>
      </c>
      <c r="P15" s="360"/>
      <c r="Q15" s="291">
        <f>750*12*3</f>
        <v>27000</v>
      </c>
      <c r="R15" s="347">
        <f>+Q15/308584.74</f>
        <v>8.7496225510049527E-2</v>
      </c>
      <c r="S15" s="291">
        <f t="shared" si="4"/>
        <v>28350</v>
      </c>
      <c r="T15" s="360"/>
      <c r="U15" s="291">
        <f>300000*R15</f>
        <v>26248.867653014859</v>
      </c>
      <c r="V15" s="360"/>
      <c r="W15" s="291">
        <f t="shared" si="5"/>
        <v>26248.867653014859</v>
      </c>
    </row>
    <row r="16" spans="2:23" x14ac:dyDescent="0.35">
      <c r="B16" s="225" t="s">
        <v>20</v>
      </c>
      <c r="C16" s="228">
        <v>500</v>
      </c>
      <c r="D16" s="360"/>
      <c r="E16" s="291">
        <v>214.6</v>
      </c>
      <c r="F16" s="360"/>
      <c r="G16" s="361"/>
      <c r="H16" s="360"/>
      <c r="I16" s="291">
        <f>+C16*1.2*2</f>
        <v>1200</v>
      </c>
      <c r="J16" s="360"/>
      <c r="K16" s="291">
        <f>+E16*1.1*3</f>
        <v>708.18000000000006</v>
      </c>
      <c r="L16" s="360"/>
      <c r="M16" s="291">
        <v>708.18000000000006</v>
      </c>
      <c r="N16" s="360"/>
      <c r="O16" s="291">
        <v>1200</v>
      </c>
      <c r="P16" s="360"/>
      <c r="Q16" s="291">
        <f>+E16*3</f>
        <v>643.79999999999995</v>
      </c>
      <c r="R16" s="347">
        <f>+Q16/308584.74</f>
        <v>2.0862988882729585E-3</v>
      </c>
      <c r="S16" s="291">
        <f t="shared" si="4"/>
        <v>675.99</v>
      </c>
      <c r="T16" s="360"/>
      <c r="U16" s="291">
        <f>300000*R16</f>
        <v>625.88966648188762</v>
      </c>
      <c r="V16" s="360"/>
      <c r="W16" s="291">
        <f t="shared" si="5"/>
        <v>625.88966648188762</v>
      </c>
    </row>
    <row r="17" spans="2:23" x14ac:dyDescent="0.35">
      <c r="B17" s="225" t="s">
        <v>21</v>
      </c>
      <c r="C17" s="228">
        <v>500</v>
      </c>
      <c r="D17" s="360"/>
      <c r="E17" s="291">
        <v>79.64</v>
      </c>
      <c r="F17" s="360"/>
      <c r="G17" s="361"/>
      <c r="H17" s="360"/>
      <c r="I17" s="291">
        <f>+C17*1.2*2</f>
        <v>1200</v>
      </c>
      <c r="J17" s="360"/>
      <c r="K17" s="291">
        <f>+E17*1.1*3</f>
        <v>262.81200000000001</v>
      </c>
      <c r="L17" s="360"/>
      <c r="M17" s="291">
        <v>262.81200000000001</v>
      </c>
      <c r="N17" s="360"/>
      <c r="O17" s="291">
        <v>1200</v>
      </c>
      <c r="P17" s="360"/>
      <c r="Q17" s="291">
        <f>+E17*3</f>
        <v>238.92000000000002</v>
      </c>
      <c r="R17" s="347">
        <f>+Q17/308584.74</f>
        <v>7.7424437773559388E-4</v>
      </c>
      <c r="S17" s="291">
        <f t="shared" si="4"/>
        <v>250.86600000000001</v>
      </c>
      <c r="T17" s="360"/>
      <c r="U17" s="291">
        <f>300000*R17</f>
        <v>232.27331332067817</v>
      </c>
      <c r="V17" s="360"/>
      <c r="W17" s="291">
        <f t="shared" si="5"/>
        <v>232.27331332067817</v>
      </c>
    </row>
    <row r="18" spans="2:23" x14ac:dyDescent="0.35">
      <c r="B18" s="225" t="s">
        <v>27</v>
      </c>
      <c r="C18" s="228">
        <v>11600</v>
      </c>
      <c r="D18" s="360"/>
      <c r="E18" s="291">
        <v>3377.14</v>
      </c>
      <c r="F18" s="360"/>
      <c r="G18" s="361"/>
      <c r="H18" s="360"/>
      <c r="I18" s="291">
        <f>+E18*1.2*2*3</f>
        <v>24315.407999999999</v>
      </c>
      <c r="J18" s="360"/>
      <c r="K18" s="291">
        <f>+E18*2*1.1*3</f>
        <v>22289.124000000003</v>
      </c>
      <c r="L18" s="360"/>
      <c r="M18" s="291">
        <v>22289.124000000003</v>
      </c>
      <c r="N18" s="360"/>
      <c r="O18" s="291">
        <v>24315.407999999999</v>
      </c>
      <c r="P18" s="360"/>
      <c r="Q18" s="291">
        <f>+C18*2</f>
        <v>23200</v>
      </c>
      <c r="R18" s="347">
        <f>+Q18/308584.74</f>
        <v>7.5181941919746267E-2</v>
      </c>
      <c r="S18" s="291">
        <f t="shared" si="4"/>
        <v>24360</v>
      </c>
      <c r="T18" s="360"/>
      <c r="U18" s="291">
        <f>300000*R18</f>
        <v>22554.58257592388</v>
      </c>
      <c r="V18" s="360"/>
      <c r="W18" s="291">
        <f t="shared" si="5"/>
        <v>22554.58257592388</v>
      </c>
    </row>
    <row r="19" spans="2:23" x14ac:dyDescent="0.35">
      <c r="B19" s="225" t="s">
        <v>39</v>
      </c>
      <c r="C19" s="228">
        <v>48508.23</v>
      </c>
      <c r="D19" s="360"/>
      <c r="E19" s="291">
        <v>33142</v>
      </c>
      <c r="F19" s="360"/>
      <c r="G19" s="361"/>
      <c r="H19" s="360"/>
      <c r="I19" s="291">
        <f>+E19*1.2*3</f>
        <v>119311.20000000001</v>
      </c>
      <c r="J19" s="360"/>
      <c r="K19" s="291">
        <f>+E19*1.1*3</f>
        <v>109368.6</v>
      </c>
      <c r="L19" s="360"/>
      <c r="M19" s="291">
        <v>109368.6</v>
      </c>
      <c r="N19" s="360"/>
      <c r="O19" s="291">
        <v>119311.20000000001</v>
      </c>
      <c r="P19" s="360"/>
      <c r="Q19" s="291">
        <f>+C19*2</f>
        <v>97016.46</v>
      </c>
      <c r="R19" s="347">
        <f>+Q19/308584.74</f>
        <v>0.31439163193876668</v>
      </c>
      <c r="S19" s="291">
        <f t="shared" si="4"/>
        <v>101867.28300000001</v>
      </c>
      <c r="T19" s="360"/>
      <c r="U19" s="291">
        <f>300000*R19</f>
        <v>94317.489581629998</v>
      </c>
      <c r="V19" s="360"/>
      <c r="W19" s="291">
        <f t="shared" si="5"/>
        <v>94317.489581629998</v>
      </c>
    </row>
    <row r="20" spans="2:23" x14ac:dyDescent="0.35">
      <c r="B20" s="225" t="s">
        <v>191</v>
      </c>
      <c r="C20" s="228">
        <v>8567.09</v>
      </c>
      <c r="D20" s="360"/>
      <c r="E20" s="291">
        <v>12190.59</v>
      </c>
      <c r="F20" s="360"/>
      <c r="G20" s="361"/>
      <c r="H20" s="360"/>
      <c r="I20" s="291">
        <f>+E20*1.2*3</f>
        <v>43886.124000000003</v>
      </c>
      <c r="J20" s="360"/>
      <c r="K20" s="291">
        <f>+E20*1.1*3</f>
        <v>40228.947</v>
      </c>
      <c r="L20" s="360"/>
      <c r="M20" s="291">
        <v>40228.947</v>
      </c>
      <c r="N20" s="360"/>
      <c r="O20" s="291">
        <v>43886.124000000003</v>
      </c>
      <c r="P20" s="360"/>
      <c r="Q20" s="291">
        <f>+E20*3</f>
        <v>36571.770000000004</v>
      </c>
      <c r="R20" s="347">
        <f>+Q20/308584.74</f>
        <v>0.1185145124156172</v>
      </c>
      <c r="S20" s="291">
        <f t="shared" si="4"/>
        <v>38400.358500000009</v>
      </c>
      <c r="T20" s="360"/>
      <c r="U20" s="291">
        <f>300000*R20</f>
        <v>35554.353724685156</v>
      </c>
      <c r="V20" s="360"/>
      <c r="W20" s="291">
        <f t="shared" si="5"/>
        <v>35554.353724685156</v>
      </c>
    </row>
    <row r="21" spans="2:23" x14ac:dyDescent="0.35">
      <c r="B21" s="225" t="s">
        <v>23</v>
      </c>
      <c r="C21" s="228">
        <v>15567</v>
      </c>
      <c r="D21" s="360"/>
      <c r="E21" s="291">
        <v>3405.29</v>
      </c>
      <c r="F21" s="360"/>
      <c r="G21" s="361"/>
      <c r="H21" s="360"/>
      <c r="I21" s="291">
        <f>+E21*1.2*2*3</f>
        <v>24518.088</v>
      </c>
      <c r="J21" s="360"/>
      <c r="K21" s="291">
        <f>+E21*1.1*2*3</f>
        <v>22474.914000000004</v>
      </c>
      <c r="L21" s="360"/>
      <c r="M21" s="291">
        <v>22474.914000000004</v>
      </c>
      <c r="N21" s="360"/>
      <c r="O21" s="291">
        <v>24518.088</v>
      </c>
      <c r="P21" s="360"/>
      <c r="Q21" s="291">
        <f>+E21*3</f>
        <v>10215.869999999999</v>
      </c>
      <c r="R21" s="347">
        <f>+Q21/308584.74</f>
        <v>3.310555797412406E-2</v>
      </c>
      <c r="S21" s="291">
        <f t="shared" si="4"/>
        <v>10726.663499999999</v>
      </c>
      <c r="T21" s="360"/>
      <c r="U21" s="291">
        <f>300000*R21</f>
        <v>9931.6673922372174</v>
      </c>
      <c r="V21" s="360"/>
      <c r="W21" s="291">
        <f t="shared" si="5"/>
        <v>9931.6673922372174</v>
      </c>
    </row>
    <row r="22" spans="2:23" ht="16" thickBot="1" x14ac:dyDescent="0.4">
      <c r="B22" s="231" t="s">
        <v>88</v>
      </c>
      <c r="C22" s="233">
        <v>21212.46</v>
      </c>
      <c r="D22" s="360"/>
      <c r="E22" s="292">
        <v>6846.42</v>
      </c>
      <c r="F22" s="360"/>
      <c r="G22" s="361"/>
      <c r="H22" s="360"/>
      <c r="I22" s="292">
        <f>+E22*1.2*2*3</f>
        <v>49294.224000000002</v>
      </c>
      <c r="J22" s="360"/>
      <c r="K22" s="292">
        <f>+E22*1.1*2*3</f>
        <v>45186.372000000003</v>
      </c>
      <c r="L22" s="360"/>
      <c r="M22" s="292">
        <v>45186.372000000003</v>
      </c>
      <c r="N22" s="360"/>
      <c r="O22" s="292">
        <v>49294.224000000002</v>
      </c>
      <c r="P22" s="360"/>
      <c r="Q22" s="292">
        <f>+E22*3</f>
        <v>20539.260000000002</v>
      </c>
      <c r="R22" s="347">
        <f>+Q22/308584.74</f>
        <v>6.655954536183481E-2</v>
      </c>
      <c r="S22" s="292">
        <f t="shared" si="4"/>
        <v>21566.223000000002</v>
      </c>
      <c r="T22" s="360"/>
      <c r="U22" s="292">
        <f>300000*R22</f>
        <v>19967.863608550444</v>
      </c>
      <c r="V22" s="360"/>
      <c r="W22" s="292">
        <f t="shared" si="5"/>
        <v>19967.863608550444</v>
      </c>
    </row>
    <row r="23" spans="2:23" ht="16.5" thickTop="1" thickBot="1" x14ac:dyDescent="0.4">
      <c r="B23" s="234" t="s">
        <v>129</v>
      </c>
      <c r="C23" s="236">
        <f>SUM(C10:C22)</f>
        <v>168291.74400000001</v>
      </c>
      <c r="D23" s="360"/>
      <c r="E23" s="293">
        <v>124719.01999999999</v>
      </c>
      <c r="F23" s="360"/>
      <c r="G23" s="361"/>
      <c r="H23" s="360"/>
      <c r="I23" s="293">
        <f>SUM(I10:I22)</f>
        <v>395300.43839999998</v>
      </c>
      <c r="J23" s="360"/>
      <c r="K23" s="293">
        <f>SUM(K10:K22)</f>
        <v>361333.47719999996</v>
      </c>
      <c r="L23" s="360"/>
      <c r="M23" s="293">
        <v>361333.47719999996</v>
      </c>
      <c r="N23" s="360"/>
      <c r="O23" s="293">
        <v>395300.43839999998</v>
      </c>
      <c r="P23" s="360"/>
      <c r="Q23" s="293">
        <f>SUM(Q10:Q22)</f>
        <v>308584.74200000003</v>
      </c>
      <c r="R23" s="360"/>
      <c r="S23" s="293">
        <f>SUM(S10:S22)</f>
        <v>324013.97910000006</v>
      </c>
      <c r="T23" s="360"/>
      <c r="U23" s="293">
        <f>SUM(U10:U22)</f>
        <v>300000.00194436061</v>
      </c>
      <c r="V23" s="360"/>
      <c r="W23" s="293">
        <f>SUM(W10:W22)</f>
        <v>300000.00194436061</v>
      </c>
    </row>
    <row r="24" spans="2:23" ht="5.5" customHeight="1" thickBot="1" x14ac:dyDescent="0.4">
      <c r="B24" s="203"/>
      <c r="C24" s="360"/>
      <c r="D24" s="360"/>
      <c r="E24" s="360"/>
      <c r="F24" s="360"/>
      <c r="G24" s="361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204"/>
    </row>
    <row r="25" spans="2:23" ht="16" thickBot="1" x14ac:dyDescent="0.4">
      <c r="B25" s="238" t="s">
        <v>119</v>
      </c>
      <c r="C25" s="307">
        <f>+C7-C23</f>
        <v>114813.19599999994</v>
      </c>
      <c r="D25" s="367"/>
      <c r="E25" s="306">
        <v>96936.860000000015</v>
      </c>
      <c r="F25" s="360"/>
      <c r="G25" s="361"/>
      <c r="H25" s="360"/>
      <c r="I25" s="311">
        <f>+I7-I23</f>
        <v>-45300.438399999985</v>
      </c>
      <c r="J25" s="360"/>
      <c r="K25" s="306">
        <f>+K7-K23</f>
        <v>12666.522800000035</v>
      </c>
      <c r="L25" s="360"/>
      <c r="M25" s="311">
        <f>+M7-M23</f>
        <v>-11333.477199999965</v>
      </c>
      <c r="N25" s="360"/>
      <c r="O25" s="311">
        <f>+O7-O23</f>
        <v>-21300.438399999985</v>
      </c>
      <c r="P25" s="360"/>
      <c r="Q25" s="306">
        <f>+Q7-Q23</f>
        <v>65415.257999999973</v>
      </c>
      <c r="R25" s="360"/>
      <c r="S25" s="306">
        <f>+S7-S23</f>
        <v>25986.020899999945</v>
      </c>
      <c r="T25" s="360"/>
      <c r="U25" s="306">
        <f>+U7-U23</f>
        <v>49999.998055639386</v>
      </c>
      <c r="V25" s="360"/>
      <c r="W25" s="306">
        <v>49999.998055639386</v>
      </c>
    </row>
    <row r="26" spans="2:23" ht="16" thickBot="1" x14ac:dyDescent="0.4">
      <c r="B26" s="203"/>
      <c r="C26" s="360"/>
      <c r="D26" s="360"/>
      <c r="E26" s="360"/>
      <c r="F26" s="360"/>
      <c r="G26" s="361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204"/>
    </row>
    <row r="27" spans="2:23" x14ac:dyDescent="0.35">
      <c r="B27" s="241" t="s">
        <v>131</v>
      </c>
      <c r="C27" s="243" t="s">
        <v>127</v>
      </c>
      <c r="D27" s="360"/>
      <c r="E27" s="294" t="s">
        <v>204</v>
      </c>
      <c r="F27" s="360"/>
      <c r="G27" s="361"/>
      <c r="H27" s="360"/>
      <c r="I27" s="294" t="s">
        <v>240</v>
      </c>
      <c r="J27" s="360"/>
      <c r="K27" s="294" t="s">
        <v>239</v>
      </c>
      <c r="L27" s="360"/>
      <c r="M27" s="294" t="s">
        <v>240</v>
      </c>
      <c r="N27" s="360"/>
      <c r="O27" s="294" t="s">
        <v>239</v>
      </c>
      <c r="P27" s="360"/>
      <c r="Q27" s="294" t="s">
        <v>239</v>
      </c>
      <c r="R27" s="360"/>
      <c r="S27" s="294" t="s">
        <v>240</v>
      </c>
      <c r="T27" s="360"/>
      <c r="U27" s="294" t="s">
        <v>240</v>
      </c>
      <c r="V27" s="360"/>
      <c r="W27" s="294" t="s">
        <v>240</v>
      </c>
    </row>
    <row r="28" spans="2:23" x14ac:dyDescent="0.35">
      <c r="B28" s="245" t="s">
        <v>17</v>
      </c>
      <c r="C28" s="247">
        <v>57588</v>
      </c>
      <c r="D28" s="360"/>
      <c r="E28" s="295">
        <v>30817.87</v>
      </c>
      <c r="F28" s="360"/>
      <c r="G28" s="361"/>
      <c r="H28" s="360"/>
      <c r="I28" s="295">
        <f>27000*12</f>
        <v>324000</v>
      </c>
      <c r="J28" s="360"/>
      <c r="K28" s="295">
        <f>30000*12</f>
        <v>360000</v>
      </c>
      <c r="L28" s="360"/>
      <c r="M28" s="295">
        <f>27000*12</f>
        <v>324000</v>
      </c>
      <c r="N28" s="360"/>
      <c r="O28" s="295">
        <v>360000</v>
      </c>
      <c r="P28" s="360"/>
      <c r="Q28" s="295">
        <v>360000</v>
      </c>
      <c r="R28" s="360"/>
      <c r="S28" s="295">
        <v>324000</v>
      </c>
      <c r="T28" s="360"/>
      <c r="U28" s="295">
        <v>324000</v>
      </c>
      <c r="V28" s="360"/>
      <c r="W28" s="295">
        <v>324000</v>
      </c>
    </row>
    <row r="29" spans="2:23" x14ac:dyDescent="0.35">
      <c r="B29" s="245" t="s">
        <v>15</v>
      </c>
      <c r="C29" s="247">
        <v>9.9999999999999995E-7</v>
      </c>
      <c r="D29" s="360"/>
      <c r="E29" s="295">
        <v>155</v>
      </c>
      <c r="F29" s="360"/>
      <c r="G29" s="361"/>
      <c r="H29" s="360"/>
      <c r="I29" s="295">
        <v>0</v>
      </c>
      <c r="J29" s="360"/>
      <c r="K29" s="295">
        <v>0</v>
      </c>
      <c r="L29" s="360"/>
      <c r="M29" s="295">
        <v>0</v>
      </c>
      <c r="N29" s="360"/>
      <c r="O29" s="295">
        <v>0</v>
      </c>
      <c r="P29" s="360"/>
      <c r="Q29" s="295">
        <v>0</v>
      </c>
      <c r="R29" s="360"/>
      <c r="S29" s="295">
        <v>0</v>
      </c>
      <c r="T29" s="360"/>
      <c r="U29" s="295">
        <v>0</v>
      </c>
      <c r="V29" s="360"/>
      <c r="W29" s="295">
        <v>0</v>
      </c>
    </row>
    <row r="30" spans="2:23" ht="16" thickBot="1" x14ac:dyDescent="0.4">
      <c r="B30" s="249" t="s">
        <v>242</v>
      </c>
      <c r="C30" s="251">
        <v>84076.800000000003</v>
      </c>
      <c r="D30" s="360"/>
      <c r="E30" s="296">
        <v>0</v>
      </c>
      <c r="F30" s="360"/>
      <c r="G30" s="361"/>
      <c r="H30" s="360"/>
      <c r="I30" s="296">
        <v>80000</v>
      </c>
      <c r="J30" s="360"/>
      <c r="K30" s="296">
        <v>80000</v>
      </c>
      <c r="L30" s="360"/>
      <c r="M30" s="296">
        <v>80000</v>
      </c>
      <c r="N30" s="360"/>
      <c r="O30" s="296">
        <v>80000</v>
      </c>
      <c r="P30" s="360"/>
      <c r="Q30" s="296">
        <v>80000</v>
      </c>
      <c r="R30" s="360"/>
      <c r="S30" s="296">
        <v>80000</v>
      </c>
      <c r="T30" s="360"/>
      <c r="U30" s="296">
        <v>80000</v>
      </c>
      <c r="V30" s="360"/>
      <c r="W30" s="296">
        <v>80000</v>
      </c>
    </row>
    <row r="31" spans="2:23" ht="16.5" thickTop="1" thickBot="1" x14ac:dyDescent="0.4">
      <c r="B31" s="252" t="s">
        <v>133</v>
      </c>
      <c r="C31" s="254">
        <f>SUM(C28:C30)</f>
        <v>141664.800001</v>
      </c>
      <c r="D31" s="360"/>
      <c r="E31" s="297">
        <v>115049.67</v>
      </c>
      <c r="F31" s="360"/>
      <c r="G31" s="361"/>
      <c r="H31" s="360"/>
      <c r="I31" s="297">
        <f>SUM(I28:I30)</f>
        <v>404000</v>
      </c>
      <c r="J31" s="360"/>
      <c r="K31" s="297">
        <f>SUM(K28:K30)</f>
        <v>440000</v>
      </c>
      <c r="L31" s="360"/>
      <c r="M31" s="297">
        <f>SUM(M28:M30)</f>
        <v>404000</v>
      </c>
      <c r="N31" s="360"/>
      <c r="O31" s="297">
        <v>440000</v>
      </c>
      <c r="P31" s="360"/>
      <c r="Q31" s="297">
        <v>440000</v>
      </c>
      <c r="R31" s="360"/>
      <c r="S31" s="297">
        <v>404000</v>
      </c>
      <c r="T31" s="360"/>
      <c r="U31" s="297">
        <v>404000</v>
      </c>
      <c r="V31" s="360"/>
      <c r="W31" s="297">
        <v>404000</v>
      </c>
    </row>
    <row r="32" spans="2:23" ht="5.5" customHeight="1" thickBot="1" x14ac:dyDescent="0.4">
      <c r="B32" s="364"/>
      <c r="C32" s="365"/>
      <c r="D32" s="360"/>
      <c r="E32" s="365"/>
      <c r="F32" s="360"/>
      <c r="G32" s="361"/>
      <c r="H32" s="360"/>
      <c r="I32" s="365"/>
      <c r="J32" s="360"/>
      <c r="K32" s="365"/>
      <c r="L32" s="360"/>
      <c r="M32" s="365"/>
      <c r="N32" s="360"/>
      <c r="O32" s="365"/>
      <c r="P32" s="360"/>
      <c r="Q32" s="365"/>
      <c r="R32" s="360"/>
      <c r="S32" s="365"/>
      <c r="T32" s="360"/>
      <c r="U32" s="365"/>
      <c r="V32" s="360"/>
      <c r="W32" s="366"/>
    </row>
    <row r="33" spans="2:23" x14ac:dyDescent="0.35">
      <c r="B33" s="256" t="s">
        <v>134</v>
      </c>
      <c r="C33" s="258" t="s">
        <v>127</v>
      </c>
      <c r="D33" s="360"/>
      <c r="E33" s="298" t="s">
        <v>204</v>
      </c>
      <c r="F33" s="360"/>
      <c r="G33" s="361"/>
      <c r="H33" s="360"/>
      <c r="I33" s="298" t="s">
        <v>240</v>
      </c>
      <c r="J33" s="360"/>
      <c r="K33" s="298" t="s">
        <v>239</v>
      </c>
      <c r="L33" s="360"/>
      <c r="M33" s="298" t="s">
        <v>239</v>
      </c>
      <c r="N33" s="360"/>
      <c r="O33" s="298" t="s">
        <v>240</v>
      </c>
      <c r="P33" s="360"/>
      <c r="Q33" s="298" t="s">
        <v>252</v>
      </c>
      <c r="R33" s="360"/>
      <c r="S33" s="298" t="s">
        <v>254</v>
      </c>
      <c r="T33" s="360"/>
      <c r="U33" s="298" t="s">
        <v>260</v>
      </c>
      <c r="V33" s="360"/>
      <c r="W33" s="298" t="s">
        <v>261</v>
      </c>
    </row>
    <row r="34" spans="2:23" x14ac:dyDescent="0.35">
      <c r="B34" s="260" t="s">
        <v>264</v>
      </c>
      <c r="C34" s="263">
        <v>45000</v>
      </c>
      <c r="D34" s="360"/>
      <c r="E34" s="299">
        <v>-1619.79</v>
      </c>
      <c r="F34" s="360"/>
      <c r="G34" s="361"/>
      <c r="H34" s="360"/>
      <c r="I34" s="299">
        <f>60000*1.2</f>
        <v>72000</v>
      </c>
      <c r="J34" s="360"/>
      <c r="K34" s="299">
        <f>60000*1.1</f>
        <v>66000</v>
      </c>
      <c r="L34" s="360"/>
      <c r="M34" s="299">
        <v>66000</v>
      </c>
      <c r="N34" s="360"/>
      <c r="O34" s="299">
        <v>72000</v>
      </c>
      <c r="P34" s="360"/>
      <c r="Q34" s="299">
        <v>70000</v>
      </c>
      <c r="R34" s="360"/>
      <c r="S34" s="299">
        <f>+Q34*1.05</f>
        <v>73500</v>
      </c>
      <c r="T34" s="360"/>
      <c r="U34" s="348">
        <f>+$U$28*U51</f>
        <v>162000</v>
      </c>
      <c r="V34" s="360"/>
      <c r="W34" s="348">
        <f>+$U$28*W51</f>
        <v>145800</v>
      </c>
    </row>
    <row r="35" spans="2:23" x14ac:dyDescent="0.35">
      <c r="B35" s="260" t="s">
        <v>136</v>
      </c>
      <c r="C35" s="263">
        <v>30000</v>
      </c>
      <c r="D35" s="360"/>
      <c r="E35" s="299">
        <v>12469.47</v>
      </c>
      <c r="F35" s="360"/>
      <c r="G35" s="361"/>
      <c r="H35" s="360"/>
      <c r="I35" s="299">
        <f>+E35*1.2*3</f>
        <v>44890.09199999999</v>
      </c>
      <c r="J35" s="360"/>
      <c r="K35" s="299">
        <f>+E35*1.1*3</f>
        <v>41149.251000000004</v>
      </c>
      <c r="L35" s="360"/>
      <c r="M35" s="299">
        <v>41149.251000000004</v>
      </c>
      <c r="N35" s="360"/>
      <c r="O35" s="299">
        <v>44890.09199999999</v>
      </c>
      <c r="P35" s="360"/>
      <c r="Q35" s="299">
        <f>+E35*3</f>
        <v>37408.409999999996</v>
      </c>
      <c r="R35" s="360"/>
      <c r="S35" s="299">
        <f t="shared" ref="S35:S44" si="6">+Q35*1.05</f>
        <v>39278.830499999996</v>
      </c>
      <c r="T35" s="360"/>
      <c r="U35" s="348"/>
      <c r="V35" s="360"/>
      <c r="W35" s="348"/>
    </row>
    <row r="36" spans="2:23" x14ac:dyDescent="0.35">
      <c r="B36" s="260" t="s">
        <v>135</v>
      </c>
      <c r="C36" s="263">
        <v>6000</v>
      </c>
      <c r="D36" s="360"/>
      <c r="E36" s="299">
        <v>0</v>
      </c>
      <c r="F36" s="360"/>
      <c r="G36" s="361"/>
      <c r="H36" s="360"/>
      <c r="I36" s="299">
        <f>+C36*2</f>
        <v>12000</v>
      </c>
      <c r="J36" s="360"/>
      <c r="K36" s="299">
        <f>+C36*2*0.8</f>
        <v>9600</v>
      </c>
      <c r="L36" s="360"/>
      <c r="M36" s="299">
        <v>9600</v>
      </c>
      <c r="N36" s="360"/>
      <c r="O36" s="299">
        <v>12000</v>
      </c>
      <c r="P36" s="360"/>
      <c r="Q36" s="299">
        <v>12000</v>
      </c>
      <c r="R36" s="360"/>
      <c r="S36" s="299">
        <f t="shared" si="6"/>
        <v>12600</v>
      </c>
      <c r="T36" s="360"/>
      <c r="U36" s="348"/>
      <c r="V36" s="360"/>
      <c r="W36" s="348"/>
    </row>
    <row r="37" spans="2:23" x14ac:dyDescent="0.35">
      <c r="B37" s="260" t="s">
        <v>140</v>
      </c>
      <c r="C37" s="263">
        <v>24000</v>
      </c>
      <c r="D37" s="360"/>
      <c r="E37" s="299">
        <v>15631.099999999997</v>
      </c>
      <c r="F37" s="360"/>
      <c r="G37" s="361"/>
      <c r="H37" s="360"/>
      <c r="I37" s="299">
        <f>+E37*1.2*3</f>
        <v>56271.959999999992</v>
      </c>
      <c r="J37" s="360"/>
      <c r="K37" s="299">
        <f>+E37*1.1*3</f>
        <v>51582.63</v>
      </c>
      <c r="L37" s="360"/>
      <c r="M37" s="299">
        <v>51582.63</v>
      </c>
      <c r="N37" s="360"/>
      <c r="O37" s="299">
        <v>56271.959999999992</v>
      </c>
      <c r="P37" s="360"/>
      <c r="Q37" s="299">
        <f>+E37*3</f>
        <v>46893.299999999988</v>
      </c>
      <c r="R37" s="360"/>
      <c r="S37" s="299">
        <f t="shared" si="6"/>
        <v>49237.964999999989</v>
      </c>
      <c r="T37" s="360"/>
      <c r="U37" s="348"/>
      <c r="V37" s="360"/>
      <c r="W37" s="348"/>
    </row>
    <row r="38" spans="2:23" x14ac:dyDescent="0.35">
      <c r="B38" s="265" t="s">
        <v>87</v>
      </c>
      <c r="C38" s="268">
        <v>2700</v>
      </c>
      <c r="D38" s="360"/>
      <c r="E38" s="299">
        <v>0</v>
      </c>
      <c r="F38" s="360"/>
      <c r="G38" s="361"/>
      <c r="H38" s="360"/>
      <c r="I38" s="299">
        <f>+C38*2</f>
        <v>5400</v>
      </c>
      <c r="J38" s="360"/>
      <c r="K38" s="299">
        <f>+C38*2*0.8</f>
        <v>4320</v>
      </c>
      <c r="L38" s="360"/>
      <c r="M38" s="299">
        <v>4320</v>
      </c>
      <c r="N38" s="360"/>
      <c r="O38" s="300">
        <v>5400</v>
      </c>
      <c r="P38" s="360"/>
      <c r="Q38" s="299">
        <v>5400</v>
      </c>
      <c r="R38" s="360"/>
      <c r="S38" s="300">
        <f t="shared" si="6"/>
        <v>5670</v>
      </c>
      <c r="T38" s="360"/>
      <c r="U38" s="349"/>
      <c r="V38" s="360"/>
      <c r="W38" s="349"/>
    </row>
    <row r="39" spans="2:23" x14ac:dyDescent="0.35">
      <c r="B39" s="265" t="s">
        <v>143</v>
      </c>
      <c r="C39" s="268">
        <v>16000</v>
      </c>
      <c r="D39" s="360"/>
      <c r="E39" s="345">
        <v>12329</v>
      </c>
      <c r="F39" s="360"/>
      <c r="G39" s="361"/>
      <c r="H39" s="360"/>
      <c r="I39" s="346">
        <f>+C39*3*1.2</f>
        <v>57600</v>
      </c>
      <c r="J39" s="360"/>
      <c r="K39" s="346">
        <f>+E39*3*1.1</f>
        <v>40685.700000000004</v>
      </c>
      <c r="L39" s="360"/>
      <c r="M39" s="345">
        <v>40685.700000000004</v>
      </c>
      <c r="N39" s="360"/>
      <c r="O39" s="299">
        <v>57600</v>
      </c>
      <c r="P39" s="360"/>
      <c r="Q39" s="345">
        <f>+E39*3</f>
        <v>36987</v>
      </c>
      <c r="R39" s="360"/>
      <c r="S39" s="299">
        <f t="shared" si="6"/>
        <v>38836.35</v>
      </c>
      <c r="T39" s="360"/>
      <c r="U39" s="346">
        <f>+U28*U52</f>
        <v>48600</v>
      </c>
      <c r="V39" s="360"/>
      <c r="W39" s="346">
        <f>+W28*W52</f>
        <v>32400</v>
      </c>
    </row>
    <row r="40" spans="2:23" x14ac:dyDescent="0.35">
      <c r="B40" s="260" t="s">
        <v>38</v>
      </c>
      <c r="C40" s="263">
        <v>24520</v>
      </c>
      <c r="D40" s="360"/>
      <c r="E40" s="299">
        <v>12806.4</v>
      </c>
      <c r="F40" s="360"/>
      <c r="G40" s="361"/>
      <c r="H40" s="360"/>
      <c r="I40" s="346">
        <f>+C40*1.2*3</f>
        <v>88272</v>
      </c>
      <c r="J40" s="360"/>
      <c r="K40" s="346">
        <f>+C40*1.1*3</f>
        <v>80916.000000000015</v>
      </c>
      <c r="L40" s="360"/>
      <c r="M40" s="299">
        <v>80916.000000000015</v>
      </c>
      <c r="N40" s="360"/>
      <c r="O40" s="346">
        <v>88272</v>
      </c>
      <c r="P40" s="360"/>
      <c r="Q40" s="299">
        <f>+C40*3</f>
        <v>73560</v>
      </c>
      <c r="R40" s="360"/>
      <c r="S40" s="346">
        <f t="shared" si="6"/>
        <v>77238</v>
      </c>
      <c r="T40" s="360"/>
      <c r="U40" s="350">
        <f>+U28*U53</f>
        <v>113400</v>
      </c>
      <c r="V40" s="360"/>
      <c r="W40" s="350">
        <f>+W28*W53</f>
        <v>145800</v>
      </c>
    </row>
    <row r="41" spans="2:23" x14ac:dyDescent="0.35">
      <c r="B41" s="260" t="s">
        <v>138</v>
      </c>
      <c r="C41" s="263">
        <v>7500</v>
      </c>
      <c r="D41" s="360"/>
      <c r="E41" s="299">
        <v>4500</v>
      </c>
      <c r="F41" s="360"/>
      <c r="G41" s="361"/>
      <c r="H41" s="360"/>
      <c r="I41" s="299">
        <f>+C41*2</f>
        <v>15000</v>
      </c>
      <c r="J41" s="360"/>
      <c r="K41" s="299">
        <f>+C41*2</f>
        <v>15000</v>
      </c>
      <c r="L41" s="360"/>
      <c r="M41" s="299">
        <v>15000</v>
      </c>
      <c r="N41" s="360"/>
      <c r="O41" s="299">
        <v>15000</v>
      </c>
      <c r="P41" s="360"/>
      <c r="Q41" s="299">
        <v>15000</v>
      </c>
      <c r="R41" s="360"/>
      <c r="S41" s="299">
        <f t="shared" si="6"/>
        <v>15750</v>
      </c>
      <c r="T41" s="360"/>
      <c r="U41" s="348"/>
      <c r="V41" s="360"/>
      <c r="W41" s="348"/>
    </row>
    <row r="42" spans="2:23" x14ac:dyDescent="0.35">
      <c r="B42" s="260" t="s">
        <v>137</v>
      </c>
      <c r="C42" s="263">
        <v>5567.7</v>
      </c>
      <c r="D42" s="360"/>
      <c r="E42" s="299">
        <v>2768.5</v>
      </c>
      <c r="F42" s="360"/>
      <c r="G42" s="361"/>
      <c r="H42" s="360"/>
      <c r="I42" s="299">
        <f>+C42*2</f>
        <v>11135.4</v>
      </c>
      <c r="J42" s="360"/>
      <c r="K42" s="299">
        <f>+C42*2</f>
        <v>11135.4</v>
      </c>
      <c r="L42" s="360"/>
      <c r="M42" s="299">
        <v>11135.4</v>
      </c>
      <c r="N42" s="360"/>
      <c r="O42" s="299">
        <v>11135.4</v>
      </c>
      <c r="P42" s="360"/>
      <c r="Q42" s="299">
        <v>10000</v>
      </c>
      <c r="R42" s="360"/>
      <c r="S42" s="299">
        <f t="shared" si="6"/>
        <v>10500</v>
      </c>
      <c r="T42" s="360"/>
      <c r="U42" s="348"/>
      <c r="V42" s="360"/>
      <c r="W42" s="348"/>
    </row>
    <row r="43" spans="2:23" x14ac:dyDescent="0.35">
      <c r="B43" s="260" t="s">
        <v>139</v>
      </c>
      <c r="C43" s="263">
        <v>5567.7</v>
      </c>
      <c r="D43" s="360"/>
      <c r="E43" s="299">
        <v>0</v>
      </c>
      <c r="F43" s="360"/>
      <c r="G43" s="361"/>
      <c r="H43" s="360"/>
      <c r="I43" s="299">
        <f>+C43*2</f>
        <v>11135.4</v>
      </c>
      <c r="J43" s="360"/>
      <c r="K43" s="299">
        <f>+C43*2</f>
        <v>11135.4</v>
      </c>
      <c r="L43" s="360"/>
      <c r="M43" s="299">
        <v>11135.4</v>
      </c>
      <c r="N43" s="360"/>
      <c r="O43" s="299">
        <v>11135.4</v>
      </c>
      <c r="P43" s="360"/>
      <c r="Q43" s="299">
        <v>10000</v>
      </c>
      <c r="R43" s="360"/>
      <c r="S43" s="299">
        <f t="shared" si="6"/>
        <v>10500</v>
      </c>
      <c r="T43" s="360"/>
      <c r="U43" s="348"/>
      <c r="V43" s="360"/>
      <c r="W43" s="348"/>
    </row>
    <row r="44" spans="2:23" ht="16" thickBot="1" x14ac:dyDescent="0.4">
      <c r="B44" s="269" t="s">
        <v>187</v>
      </c>
      <c r="C44" s="272">
        <v>24520</v>
      </c>
      <c r="D44" s="360"/>
      <c r="E44" s="301">
        <v>18000</v>
      </c>
      <c r="F44" s="360"/>
      <c r="G44" s="361"/>
      <c r="H44" s="360"/>
      <c r="I44" s="301">
        <f>+C44*2</f>
        <v>49040</v>
      </c>
      <c r="J44" s="360"/>
      <c r="K44" s="301">
        <f>+C44*2</f>
        <v>49040</v>
      </c>
      <c r="L44" s="360"/>
      <c r="M44" s="301">
        <v>49040</v>
      </c>
      <c r="N44" s="360"/>
      <c r="O44" s="301">
        <v>49040</v>
      </c>
      <c r="P44" s="360"/>
      <c r="Q44" s="301">
        <v>50000</v>
      </c>
      <c r="R44" s="360"/>
      <c r="S44" s="301">
        <f t="shared" si="6"/>
        <v>52500</v>
      </c>
      <c r="T44" s="360"/>
      <c r="U44" s="351"/>
      <c r="V44" s="360"/>
      <c r="W44" s="351"/>
    </row>
    <row r="45" spans="2:23" ht="16.5" thickTop="1" thickBot="1" x14ac:dyDescent="0.4">
      <c r="B45" s="273" t="s">
        <v>129</v>
      </c>
      <c r="C45" s="275">
        <f>SUM(C34:C44)</f>
        <v>191375.40000000002</v>
      </c>
      <c r="D45" s="360"/>
      <c r="E45" s="302">
        <v>76884.679999999993</v>
      </c>
      <c r="F45" s="360"/>
      <c r="G45" s="361"/>
      <c r="H45" s="360"/>
      <c r="I45" s="302">
        <f>SUM(I34:I44)</f>
        <v>422744.85200000001</v>
      </c>
      <c r="J45" s="360"/>
      <c r="K45" s="302">
        <f>SUM(K34:K44)</f>
        <v>380564.38100000005</v>
      </c>
      <c r="L45" s="360"/>
      <c r="M45" s="302">
        <v>380564.38100000005</v>
      </c>
      <c r="N45" s="360"/>
      <c r="O45" s="302">
        <v>422744.85200000001</v>
      </c>
      <c r="P45" s="360"/>
      <c r="Q45" s="302">
        <f>SUM(Q34:Q44)</f>
        <v>367248.70999999996</v>
      </c>
      <c r="R45" s="360"/>
      <c r="S45" s="302">
        <f>SUM(S34:S44)</f>
        <v>385611.14549999998</v>
      </c>
      <c r="T45" s="360"/>
      <c r="U45" s="302">
        <f>SUM(U34:U44)</f>
        <v>324000</v>
      </c>
      <c r="V45" s="360"/>
      <c r="W45" s="302">
        <f>SUM(W34:W44)</f>
        <v>324000</v>
      </c>
    </row>
    <row r="46" spans="2:23" ht="5.5" customHeight="1" thickBot="1" x14ac:dyDescent="0.4">
      <c r="B46" s="203"/>
      <c r="C46" s="360"/>
      <c r="D46" s="360"/>
      <c r="E46" s="360"/>
      <c r="F46" s="360"/>
      <c r="G46" s="361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204"/>
    </row>
    <row r="47" spans="2:23" ht="16" thickBot="1" x14ac:dyDescent="0.4">
      <c r="B47" s="238" t="s">
        <v>197</v>
      </c>
      <c r="C47" s="308">
        <f>+C31-C45</f>
        <v>-49710.599999000027</v>
      </c>
      <c r="D47" s="367"/>
      <c r="E47" s="306">
        <v>38164.990000000005</v>
      </c>
      <c r="F47" s="360"/>
      <c r="G47" s="361"/>
      <c r="H47" s="360"/>
      <c r="I47" s="311">
        <f>+I31-I45</f>
        <v>-18744.852000000014</v>
      </c>
      <c r="J47" s="360"/>
      <c r="K47" s="306">
        <f>+K31-K45</f>
        <v>59435.618999999948</v>
      </c>
      <c r="L47" s="360"/>
      <c r="M47" s="306">
        <f>+M31-M45</f>
        <v>23435.618999999948</v>
      </c>
      <c r="N47" s="368"/>
      <c r="O47" s="306">
        <f>+O31-O45</f>
        <v>17255.147999999986</v>
      </c>
      <c r="P47" s="368"/>
      <c r="Q47" s="306">
        <f>+Q31-Q45</f>
        <v>72751.290000000037</v>
      </c>
      <c r="R47" s="360"/>
      <c r="S47" s="306">
        <f>+S31-S45</f>
        <v>18388.854500000016</v>
      </c>
      <c r="T47" s="368"/>
      <c r="U47" s="306">
        <f>+U31-U45</f>
        <v>80000</v>
      </c>
      <c r="V47" s="368"/>
      <c r="W47" s="306">
        <f>+W31-W45</f>
        <v>80000</v>
      </c>
    </row>
    <row r="48" spans="2:23" ht="16" thickBot="1" x14ac:dyDescent="0.4">
      <c r="B48" s="203"/>
      <c r="C48" s="360"/>
      <c r="D48" s="360"/>
      <c r="E48" s="360"/>
      <c r="F48" s="360"/>
      <c r="G48" s="361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204"/>
    </row>
    <row r="49" spans="2:23" ht="16" thickBot="1" x14ac:dyDescent="0.4">
      <c r="B49" s="278" t="s">
        <v>193</v>
      </c>
      <c r="C49" s="309">
        <f>+C25+C47</f>
        <v>65102.596000999911</v>
      </c>
      <c r="D49" s="360"/>
      <c r="E49" s="310">
        <v>135101.85000000003</v>
      </c>
      <c r="F49" s="360"/>
      <c r="G49" s="361"/>
      <c r="H49" s="360"/>
      <c r="I49" s="322">
        <f>+I25+I47</f>
        <v>-64045.290399999998</v>
      </c>
      <c r="J49" s="360"/>
      <c r="K49" s="310">
        <f>+K25+K47</f>
        <v>72102.141799999983</v>
      </c>
      <c r="L49" s="360"/>
      <c r="M49" s="310">
        <f>+M25+M47</f>
        <v>12102.141799999983</v>
      </c>
      <c r="N49" s="360"/>
      <c r="O49" s="322">
        <f>+O25+O47</f>
        <v>-4045.290399999998</v>
      </c>
      <c r="P49" s="360"/>
      <c r="Q49" s="310">
        <f>+Q25+Q47</f>
        <v>138166.54800000001</v>
      </c>
      <c r="R49" s="360"/>
      <c r="S49" s="310">
        <f>+S25+S47</f>
        <v>44374.875399999961</v>
      </c>
      <c r="T49" s="360"/>
      <c r="U49" s="310">
        <f>+U25+U47</f>
        <v>129999.99805563939</v>
      </c>
      <c r="V49" s="360"/>
      <c r="W49" s="310">
        <f>+W25+W47</f>
        <v>129999.99805563939</v>
      </c>
    </row>
    <row r="50" spans="2:23" x14ac:dyDescent="0.35">
      <c r="B50" s="203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204"/>
    </row>
    <row r="51" spans="2:23" x14ac:dyDescent="0.35">
      <c r="B51" s="203" t="s">
        <v>257</v>
      </c>
      <c r="C51" s="347">
        <f>+SUM(C34:C38)/C45</f>
        <v>0.56276825548111198</v>
      </c>
      <c r="D51" s="360"/>
      <c r="E51" s="347">
        <f>+SUM(E34:E38)/E45</f>
        <v>0.34442206171632633</v>
      </c>
      <c r="F51" s="360"/>
      <c r="G51" s="360"/>
      <c r="H51" s="360"/>
      <c r="I51" s="347">
        <f>+SUM(I34:I38)/I45</f>
        <v>0.45077320539434967</v>
      </c>
      <c r="J51" s="360"/>
      <c r="K51" s="347">
        <f>+SUM(K34:K38)/K45</f>
        <v>0.45367325377726292</v>
      </c>
      <c r="L51" s="360"/>
      <c r="M51" s="347">
        <f>+SUM(M34:M38)/M45</f>
        <v>0.45367325377726292</v>
      </c>
      <c r="N51" s="360"/>
      <c r="O51" s="347">
        <f>+SUM(O34:O38)/O45</f>
        <v>0.45077320539434967</v>
      </c>
      <c r="P51" s="360"/>
      <c r="Q51" s="347">
        <f>+SUM(Q34:Q38)/Q45</f>
        <v>0.4675352297357287</v>
      </c>
      <c r="R51" s="360"/>
      <c r="S51" s="347">
        <f>+SUM(S34:S38)/S45</f>
        <v>0.46753522973572864</v>
      </c>
      <c r="T51" s="360"/>
      <c r="U51" s="347">
        <v>0.5</v>
      </c>
      <c r="V51" s="360"/>
      <c r="W51" s="369">
        <v>0.45</v>
      </c>
    </row>
    <row r="52" spans="2:23" x14ac:dyDescent="0.35">
      <c r="B52" s="203" t="s">
        <v>258</v>
      </c>
      <c r="C52" s="347">
        <f>+C39/C45</f>
        <v>8.360531186348924E-2</v>
      </c>
      <c r="D52" s="360"/>
      <c r="E52" s="347">
        <f>+E39/E45</f>
        <v>0.1603570438219942</v>
      </c>
      <c r="F52" s="360"/>
      <c r="G52" s="360"/>
      <c r="H52" s="360"/>
      <c r="I52" s="347">
        <f>+I39/I45</f>
        <v>0.13625239840886341</v>
      </c>
      <c r="J52" s="360"/>
      <c r="K52" s="347">
        <f>+K39/K45</f>
        <v>0.10690884914949515</v>
      </c>
      <c r="L52" s="360"/>
      <c r="M52" s="347">
        <f>+M39/M45</f>
        <v>0.10690884914949515</v>
      </c>
      <c r="N52" s="360"/>
      <c r="O52" s="347">
        <f>+O39/O45</f>
        <v>0.13625239840886341</v>
      </c>
      <c r="P52" s="360"/>
      <c r="Q52" s="347">
        <f>+Q39/Q45</f>
        <v>0.10071376424984585</v>
      </c>
      <c r="R52" s="360"/>
      <c r="S52" s="347">
        <f>+S39/S45</f>
        <v>0.10071376424984584</v>
      </c>
      <c r="T52" s="360"/>
      <c r="U52" s="347">
        <v>0.15</v>
      </c>
      <c r="V52" s="360"/>
      <c r="W52" s="369">
        <v>0.1</v>
      </c>
    </row>
    <row r="53" spans="2:23" ht="16" thickBot="1" x14ac:dyDescent="0.4">
      <c r="B53" s="223" t="s">
        <v>259</v>
      </c>
      <c r="C53" s="370">
        <f>+(SUM(C40:C44)/C45)</f>
        <v>0.35362643265539867</v>
      </c>
      <c r="D53" s="371"/>
      <c r="E53" s="370">
        <f>+(SUM(E40:E44)/E45)</f>
        <v>0.49522089446167955</v>
      </c>
      <c r="F53" s="371"/>
      <c r="G53" s="371"/>
      <c r="H53" s="371"/>
      <c r="I53" s="370">
        <f>+(SUM(I40:I44)/I45)</f>
        <v>0.41297439619678677</v>
      </c>
      <c r="J53" s="371"/>
      <c r="K53" s="370">
        <f>+(SUM(K40:K44)/K45)</f>
        <v>0.43941789707324175</v>
      </c>
      <c r="L53" s="371"/>
      <c r="M53" s="370">
        <f>+(SUM(M40:M44)/M45)</f>
        <v>0.43941789707324175</v>
      </c>
      <c r="N53" s="371"/>
      <c r="O53" s="370">
        <f>+(SUM(O40:O44)/O45)</f>
        <v>0.41297439619678677</v>
      </c>
      <c r="P53" s="371"/>
      <c r="Q53" s="370">
        <f>+(SUM(Q40:Q44)/Q45)</f>
        <v>0.43175100601442551</v>
      </c>
      <c r="R53" s="371"/>
      <c r="S53" s="370">
        <f>+(SUM(S40:S44)/S45)</f>
        <v>0.43175100601442551</v>
      </c>
      <c r="T53" s="371"/>
      <c r="U53" s="370">
        <v>0.35</v>
      </c>
      <c r="V53" s="371"/>
      <c r="W53" s="372">
        <v>0.45</v>
      </c>
    </row>
  </sheetData>
  <mergeCells count="6">
    <mergeCell ref="C1:E1"/>
    <mergeCell ref="I1:U1"/>
    <mergeCell ref="U34:U38"/>
    <mergeCell ref="W34:W38"/>
    <mergeCell ref="U40:U44"/>
    <mergeCell ref="W40:W4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1B8F1-C754-4F6C-A44E-7E88D1180C21}">
  <sheetPr>
    <tabColor rgb="FFFFFF00"/>
  </sheetPr>
  <dimension ref="B1:L48"/>
  <sheetViews>
    <sheetView topLeftCell="A5" zoomScale="54" zoomScaleNormal="160" workbookViewId="0">
      <selection activeCell="H48" sqref="H48:I48"/>
    </sheetView>
  </sheetViews>
  <sheetFormatPr defaultRowHeight="15.5" x14ac:dyDescent="0.35"/>
  <cols>
    <col min="1" max="1" width="3.5" style="104" customWidth="1"/>
    <col min="2" max="2" width="18.75" style="104" customWidth="1"/>
    <col min="3" max="3" width="14.33203125" style="104" customWidth="1"/>
    <col min="4" max="4" width="3.75" style="104" customWidth="1"/>
    <col min="5" max="5" width="46.58203125" style="104" customWidth="1"/>
    <col min="6" max="6" width="14.33203125" style="104" bestFit="1" customWidth="1"/>
    <col min="7" max="7" width="15.25" style="104" bestFit="1" customWidth="1"/>
    <col min="8" max="8" width="20.58203125" style="104" bestFit="1" customWidth="1"/>
    <col min="9" max="9" width="6" style="183" bestFit="1" customWidth="1"/>
    <col min="10" max="10" width="8.6640625" style="174" customWidth="1"/>
    <col min="11" max="11" width="8.6640625" style="104"/>
    <col min="12" max="12" width="13.25" style="104" bestFit="1" customWidth="1"/>
    <col min="13" max="16384" width="8.6640625" style="104"/>
  </cols>
  <sheetData>
    <row r="1" spans="2:10" ht="16" thickBot="1" x14ac:dyDescent="0.4"/>
    <row r="2" spans="2:10" x14ac:dyDescent="0.35">
      <c r="B2" s="105" t="s">
        <v>121</v>
      </c>
      <c r="C2" s="178">
        <v>23085.91</v>
      </c>
      <c r="E2" s="110" t="s">
        <v>124</v>
      </c>
      <c r="F2" s="111" t="s">
        <v>125</v>
      </c>
      <c r="G2" s="111" t="s">
        <v>126</v>
      </c>
      <c r="H2" s="112" t="s">
        <v>127</v>
      </c>
      <c r="I2" s="179" t="s">
        <v>179</v>
      </c>
      <c r="J2" s="175" t="s">
        <v>152</v>
      </c>
    </row>
    <row r="3" spans="2:10" x14ac:dyDescent="0.35">
      <c r="B3" s="106"/>
      <c r="C3" s="107"/>
      <c r="E3" s="113" t="s">
        <v>123</v>
      </c>
      <c r="F3" s="114">
        <f>+'Orçado x Realizado'!D88</f>
        <v>132353</v>
      </c>
      <c r="G3" s="129" t="e">
        <f>+'Orçado x Realizado'!E88</f>
        <v>#REF!</v>
      </c>
      <c r="H3" s="130" t="e">
        <f>+G3*3</f>
        <v>#REF!</v>
      </c>
      <c r="I3" s="184" t="e">
        <f>+H3/$H$6</f>
        <v>#REF!</v>
      </c>
      <c r="J3" s="174" t="s">
        <v>153</v>
      </c>
    </row>
    <row r="4" spans="2:10" x14ac:dyDescent="0.35">
      <c r="B4" s="106"/>
      <c r="C4" s="107"/>
      <c r="E4" s="113" t="s">
        <v>132</v>
      </c>
      <c r="F4" s="114">
        <f>+'Orçado x Realizado'!D93</f>
        <v>6801.11</v>
      </c>
      <c r="G4" s="129" t="e">
        <f>+'Orçado x Realizado'!E93</f>
        <v>#REF!</v>
      </c>
      <c r="H4" s="130">
        <v>0</v>
      </c>
      <c r="I4" s="184" t="e">
        <f t="shared" ref="I4:I5" si="0">+H4/$H$6</f>
        <v>#REF!</v>
      </c>
      <c r="J4" s="174" t="s">
        <v>154</v>
      </c>
    </row>
    <row r="5" spans="2:10" ht="16" thickBot="1" x14ac:dyDescent="0.4">
      <c r="B5" s="106"/>
      <c r="C5" s="107"/>
      <c r="E5" s="115" t="s">
        <v>146</v>
      </c>
      <c r="F5" s="116">
        <v>0</v>
      </c>
      <c r="G5" s="131">
        <v>0</v>
      </c>
      <c r="H5" s="132">
        <f>+C11+C2-H29</f>
        <v>101212.97</v>
      </c>
      <c r="I5" s="184" t="e">
        <f t="shared" si="0"/>
        <v>#REF!</v>
      </c>
      <c r="J5" s="174" t="s">
        <v>155</v>
      </c>
    </row>
    <row r="6" spans="2:10" ht="16.5" thickTop="1" thickBot="1" x14ac:dyDescent="0.4">
      <c r="B6" s="106"/>
      <c r="C6" s="107"/>
      <c r="E6" s="117" t="s">
        <v>128</v>
      </c>
      <c r="F6" s="118">
        <f>SUM(F3:F5)</f>
        <v>139154.10999999999</v>
      </c>
      <c r="G6" s="118" t="e">
        <f>SUM(G3:G5)</f>
        <v>#REF!</v>
      </c>
      <c r="H6" s="133" t="e">
        <f>SUM(H3:H5)</f>
        <v>#REF!</v>
      </c>
      <c r="I6" s="188" t="e">
        <f>+H6/(H6+H30)</f>
        <v>#REF!</v>
      </c>
      <c r="J6" s="174" t="s">
        <v>180</v>
      </c>
    </row>
    <row r="7" spans="2:10" ht="5.5" customHeight="1" thickBot="1" x14ac:dyDescent="0.4">
      <c r="B7" s="106"/>
      <c r="C7" s="107"/>
      <c r="E7" s="119"/>
      <c r="F7" s="119"/>
      <c r="G7" s="119"/>
      <c r="H7" s="119"/>
    </row>
    <row r="8" spans="2:10" x14ac:dyDescent="0.35">
      <c r="B8" s="106"/>
      <c r="C8" s="107"/>
      <c r="E8" s="120" t="s">
        <v>130</v>
      </c>
      <c r="F8" s="121" t="s">
        <v>125</v>
      </c>
      <c r="G8" s="121" t="s">
        <v>126</v>
      </c>
      <c r="H8" s="122" t="s">
        <v>127</v>
      </c>
      <c r="I8" s="180" t="s">
        <v>179</v>
      </c>
    </row>
    <row r="9" spans="2:10" ht="16" thickBot="1" x14ac:dyDescent="0.4">
      <c r="B9" s="108"/>
      <c r="C9" s="109"/>
      <c r="E9" s="123" t="s">
        <v>25</v>
      </c>
      <c r="F9" s="124">
        <v>-1192</v>
      </c>
      <c r="G9" s="135">
        <v>-1212</v>
      </c>
      <c r="H9" s="136">
        <f>-1212*1.1</f>
        <v>-1333.2</v>
      </c>
      <c r="I9" s="185">
        <f>+H9/$H$22</f>
        <v>7.3082856114854424E-3</v>
      </c>
      <c r="J9" s="174" t="s">
        <v>156</v>
      </c>
    </row>
    <row r="10" spans="2:10" ht="16" thickBot="1" x14ac:dyDescent="0.4">
      <c r="E10" s="123" t="s">
        <v>26</v>
      </c>
      <c r="F10" s="124">
        <v>-15026</v>
      </c>
      <c r="G10" s="135">
        <v>-11002.04</v>
      </c>
      <c r="H10" s="136">
        <f>+G10*1.1</f>
        <v>-12102.244000000002</v>
      </c>
      <c r="I10" s="185">
        <f t="shared" ref="I10:I21" si="1">+H10/$H$22</f>
        <v>6.6341625931507678E-2</v>
      </c>
      <c r="J10" s="174" t="s">
        <v>156</v>
      </c>
    </row>
    <row r="11" spans="2:10" x14ac:dyDescent="0.35">
      <c r="B11" s="105" t="s">
        <v>122</v>
      </c>
      <c r="C11" s="178">
        <v>161127.06</v>
      </c>
      <c r="E11" s="123" t="s">
        <v>141</v>
      </c>
      <c r="F11" s="124">
        <v>0</v>
      </c>
      <c r="G11" s="135">
        <v>0</v>
      </c>
      <c r="H11" s="136">
        <v>-40000</v>
      </c>
      <c r="I11" s="185">
        <f t="shared" si="1"/>
        <v>0.21927049539410268</v>
      </c>
      <c r="J11" s="174" t="s">
        <v>157</v>
      </c>
    </row>
    <row r="12" spans="2:10" x14ac:dyDescent="0.35">
      <c r="B12" s="106"/>
      <c r="C12" s="107"/>
      <c r="E12" s="123" t="s">
        <v>115</v>
      </c>
      <c r="F12" s="124">
        <f>-2454.33-480</f>
        <v>-2934.33</v>
      </c>
      <c r="G12" s="135">
        <v>-261.47000000000003</v>
      </c>
      <c r="H12" s="136">
        <v>-10000</v>
      </c>
      <c r="I12" s="185">
        <f t="shared" si="1"/>
        <v>5.4817623848525669E-2</v>
      </c>
      <c r="J12" s="174" t="s">
        <v>165</v>
      </c>
    </row>
    <row r="13" spans="2:10" x14ac:dyDescent="0.35">
      <c r="B13" s="106"/>
      <c r="C13" s="107"/>
      <c r="E13" s="123" t="s">
        <v>111</v>
      </c>
      <c r="F13" s="124">
        <v>-1100</v>
      </c>
      <c r="G13" s="135">
        <v>-577.62</v>
      </c>
      <c r="H13" s="136">
        <f>+G13*3</f>
        <v>-1732.8600000000001</v>
      </c>
      <c r="I13" s="185">
        <f t="shared" si="1"/>
        <v>9.4991267662156206E-3</v>
      </c>
      <c r="J13" s="174" t="s">
        <v>153</v>
      </c>
    </row>
    <row r="14" spans="2:10" x14ac:dyDescent="0.35">
      <c r="B14" s="106"/>
      <c r="C14" s="107"/>
      <c r="E14" s="123" t="s">
        <v>19</v>
      </c>
      <c r="F14" s="124">
        <v>-8268</v>
      </c>
      <c r="G14" s="135">
        <v>-3600</v>
      </c>
      <c r="H14" s="136">
        <f>+G14*3</f>
        <v>-10800</v>
      </c>
      <c r="I14" s="185">
        <f t="shared" si="1"/>
        <v>5.9203033756407723E-2</v>
      </c>
      <c r="J14" s="174" t="s">
        <v>153</v>
      </c>
    </row>
    <row r="15" spans="2:10" ht="16" thickBot="1" x14ac:dyDescent="0.4">
      <c r="B15" s="108"/>
      <c r="C15" s="109"/>
      <c r="E15" s="123" t="s">
        <v>20</v>
      </c>
      <c r="F15" s="124">
        <v>-4185</v>
      </c>
      <c r="G15" s="135">
        <v>-1864.3400000000001</v>
      </c>
      <c r="H15" s="136">
        <v>-500</v>
      </c>
      <c r="I15" s="185">
        <f t="shared" si="1"/>
        <v>2.7408811924262834E-3</v>
      </c>
      <c r="J15" s="174" t="s">
        <v>158</v>
      </c>
    </row>
    <row r="16" spans="2:10" x14ac:dyDescent="0.35">
      <c r="E16" s="123" t="s">
        <v>21</v>
      </c>
      <c r="F16" s="124">
        <v>-390.76</v>
      </c>
      <c r="G16" s="135">
        <v>-1886.8799999999999</v>
      </c>
      <c r="H16" s="136">
        <v>-500</v>
      </c>
      <c r="I16" s="185">
        <f t="shared" si="1"/>
        <v>2.7408811924262834E-3</v>
      </c>
      <c r="J16" s="174" t="s">
        <v>159</v>
      </c>
    </row>
    <row r="17" spans="5:12" x14ac:dyDescent="0.35">
      <c r="E17" s="123" t="s">
        <v>27</v>
      </c>
      <c r="F17" s="124">
        <v>-11600</v>
      </c>
      <c r="G17" s="135">
        <v>0</v>
      </c>
      <c r="H17" s="136">
        <f>+F17</f>
        <v>-11600</v>
      </c>
      <c r="I17" s="185">
        <f t="shared" si="1"/>
        <v>6.358844366428977E-2</v>
      </c>
      <c r="J17" s="174" t="s">
        <v>160</v>
      </c>
    </row>
    <row r="18" spans="5:12" x14ac:dyDescent="0.35">
      <c r="E18" s="123" t="s">
        <v>39</v>
      </c>
      <c r="F18" s="124">
        <f>+'Orçado x Realizado'!J26</f>
        <v>-40148.3293185</v>
      </c>
      <c r="G18" s="135">
        <v>-16169.41</v>
      </c>
      <c r="H18" s="136">
        <f>+G18*3</f>
        <v>-48508.229999999996</v>
      </c>
      <c r="I18" s="185">
        <f t="shared" si="1"/>
        <v>0.26591059056977678</v>
      </c>
      <c r="J18" s="174" t="s">
        <v>153</v>
      </c>
    </row>
    <row r="19" spans="5:12" x14ac:dyDescent="0.35">
      <c r="E19" s="123" t="s">
        <v>24</v>
      </c>
      <c r="F19" s="124">
        <v>-9754.5499999999993</v>
      </c>
      <c r="G19" s="135">
        <v>-8567.09</v>
      </c>
      <c r="H19" s="136">
        <f>+G19</f>
        <v>-8567.09</v>
      </c>
      <c r="I19" s="185">
        <f t="shared" si="1"/>
        <v>4.6962751709646582E-2</v>
      </c>
      <c r="J19" s="174" t="s">
        <v>161</v>
      </c>
    </row>
    <row r="20" spans="5:12" x14ac:dyDescent="0.35">
      <c r="E20" s="123" t="s">
        <v>23</v>
      </c>
      <c r="F20" s="124">
        <f>-5679-4699</f>
        <v>-10378</v>
      </c>
      <c r="G20" s="135">
        <v>-49.86</v>
      </c>
      <c r="H20" s="136">
        <f>+F20*1.5</f>
        <v>-15567</v>
      </c>
      <c r="I20" s="185">
        <f t="shared" si="1"/>
        <v>8.5334595044999906E-2</v>
      </c>
      <c r="J20" s="174" t="s">
        <v>162</v>
      </c>
      <c r="L20" s="164"/>
    </row>
    <row r="21" spans="5:12" ht="16" thickBot="1" x14ac:dyDescent="0.4">
      <c r="E21" s="125" t="s">
        <v>88</v>
      </c>
      <c r="F21" s="126">
        <v>-4400</v>
      </c>
      <c r="G21" s="126">
        <v>-7070.82</v>
      </c>
      <c r="H21" s="137">
        <f>+G21*3</f>
        <v>-21212.46</v>
      </c>
      <c r="I21" s="185">
        <f t="shared" si="1"/>
        <v>0.11628166531818968</v>
      </c>
      <c r="J21" s="174" t="s">
        <v>153</v>
      </c>
      <c r="L21" s="164"/>
    </row>
    <row r="22" spans="5:12" ht="16.5" thickTop="1" thickBot="1" x14ac:dyDescent="0.4">
      <c r="E22" s="127" t="s">
        <v>129</v>
      </c>
      <c r="F22" s="128">
        <f>SUM(F9:F21)</f>
        <v>-109376.96931850001</v>
      </c>
      <c r="G22" s="128">
        <f>SUM(G9:G21)</f>
        <v>-52261.530000000006</v>
      </c>
      <c r="H22" s="134">
        <f>SUM(H9:H21)</f>
        <v>-182423.08399999997</v>
      </c>
      <c r="I22" s="189">
        <f>+H22/(H22+H44)</f>
        <v>0.44064805580654098</v>
      </c>
      <c r="J22" s="174" t="s">
        <v>184</v>
      </c>
      <c r="L22" s="164"/>
    </row>
    <row r="23" spans="5:12" ht="5.5" customHeight="1" thickBot="1" x14ac:dyDescent="0.4">
      <c r="L23" s="164"/>
    </row>
    <row r="24" spans="5:12" ht="16" thickBot="1" x14ac:dyDescent="0.4">
      <c r="E24" s="169" t="s">
        <v>147</v>
      </c>
      <c r="F24" s="170">
        <f>+F6+F22</f>
        <v>29777.140681499979</v>
      </c>
      <c r="G24" s="170" t="e">
        <f>+G6+G22</f>
        <v>#REF!</v>
      </c>
      <c r="H24" s="177" t="e">
        <f>+H6+H22</f>
        <v>#REF!</v>
      </c>
      <c r="I24" s="174"/>
      <c r="L24" s="164"/>
    </row>
    <row r="25" spans="5:12" ht="16" thickBot="1" x14ac:dyDescent="0.4">
      <c r="L25" s="164"/>
    </row>
    <row r="26" spans="5:12" x14ac:dyDescent="0.35">
      <c r="E26" s="138" t="s">
        <v>131</v>
      </c>
      <c r="F26" s="139" t="s">
        <v>125</v>
      </c>
      <c r="G26" s="139" t="s">
        <v>126</v>
      </c>
      <c r="H26" s="140" t="s">
        <v>127</v>
      </c>
      <c r="I26" s="181" t="s">
        <v>179</v>
      </c>
      <c r="L26" s="164"/>
    </row>
    <row r="27" spans="5:12" x14ac:dyDescent="0.35">
      <c r="E27" s="141" t="s">
        <v>17</v>
      </c>
      <c r="F27" s="142">
        <f>+'Orçado x Realizado'!D92</f>
        <v>28794</v>
      </c>
      <c r="G27" s="142">
        <f>+'Orçado x Realizado'!E92</f>
        <v>0</v>
      </c>
      <c r="H27" s="143">
        <f>+F27*2</f>
        <v>57588</v>
      </c>
      <c r="I27" s="186">
        <f>+H27/$H$30</f>
        <v>0.40962244288274957</v>
      </c>
      <c r="J27" s="174" t="s">
        <v>163</v>
      </c>
      <c r="L27" s="164"/>
    </row>
    <row r="28" spans="5:12" x14ac:dyDescent="0.35">
      <c r="E28" s="141" t="s">
        <v>15</v>
      </c>
      <c r="F28" s="142">
        <v>0</v>
      </c>
      <c r="G28" s="142">
        <v>200</v>
      </c>
      <c r="H28" s="143">
        <f>+F28*2</f>
        <v>0</v>
      </c>
      <c r="I28" s="186">
        <f t="shared" ref="I28:I29" si="2">+H28/$H$30</f>
        <v>0</v>
      </c>
      <c r="J28" s="174" t="s">
        <v>164</v>
      </c>
      <c r="L28" s="164"/>
    </row>
    <row r="29" spans="5:12" ht="16" thickBot="1" x14ac:dyDescent="0.4">
      <c r="E29" s="144" t="s">
        <v>145</v>
      </c>
      <c r="F29" s="145">
        <v>0</v>
      </c>
      <c r="G29" s="145">
        <v>0</v>
      </c>
      <c r="H29" s="146">
        <v>83000</v>
      </c>
      <c r="I29" s="186">
        <f t="shared" si="2"/>
        <v>0.59037755711725037</v>
      </c>
      <c r="L29" s="164"/>
    </row>
    <row r="30" spans="5:12" ht="16.5" thickTop="1" thickBot="1" x14ac:dyDescent="0.4">
      <c r="E30" s="147" t="s">
        <v>133</v>
      </c>
      <c r="F30" s="148">
        <f>SUM(F26:F29)</f>
        <v>28794</v>
      </c>
      <c r="G30" s="148">
        <f t="shared" ref="G30" si="3">SUM(G26:G29)</f>
        <v>200</v>
      </c>
      <c r="H30" s="149">
        <f t="shared" ref="H30" si="4">SUM(H26:H29)</f>
        <v>140588</v>
      </c>
      <c r="I30" s="191" t="e">
        <f>+H30/(H30+H6)</f>
        <v>#REF!</v>
      </c>
      <c r="J30" s="174" t="s">
        <v>182</v>
      </c>
      <c r="L30" s="164"/>
    </row>
    <row r="31" spans="5:12" ht="5.5" customHeight="1" thickBot="1" x14ac:dyDescent="0.4">
      <c r="E31" s="119"/>
      <c r="F31" s="119"/>
      <c r="G31" s="119"/>
      <c r="H31" s="119"/>
      <c r="L31" s="164"/>
    </row>
    <row r="32" spans="5:12" x14ac:dyDescent="0.35">
      <c r="E32" s="150" t="s">
        <v>134</v>
      </c>
      <c r="F32" s="151" t="s">
        <v>125</v>
      </c>
      <c r="G32" s="151" t="s">
        <v>126</v>
      </c>
      <c r="H32" s="152" t="s">
        <v>127</v>
      </c>
      <c r="I32" s="182" t="s">
        <v>179</v>
      </c>
      <c r="L32" s="164"/>
    </row>
    <row r="33" spans="5:12" x14ac:dyDescent="0.35">
      <c r="E33" s="153" t="s">
        <v>142</v>
      </c>
      <c r="F33" s="154">
        <v>0</v>
      </c>
      <c r="G33" s="155">
        <v>0</v>
      </c>
      <c r="H33" s="156">
        <v>-60000</v>
      </c>
      <c r="I33" s="187">
        <f>+H33/$H$44</f>
        <v>0.25910641366537596</v>
      </c>
      <c r="J33" s="174" t="s">
        <v>150</v>
      </c>
      <c r="L33" s="164"/>
    </row>
    <row r="34" spans="5:12" x14ac:dyDescent="0.35">
      <c r="E34" s="153" t="s">
        <v>136</v>
      </c>
      <c r="F34" s="154">
        <v>0</v>
      </c>
      <c r="G34" s="155">
        <v>-2707.5</v>
      </c>
      <c r="H34" s="156">
        <f>-8000*5</f>
        <v>-40000</v>
      </c>
      <c r="I34" s="187">
        <f t="shared" ref="I34:I43" si="5">+H34/$H$44</f>
        <v>0.17273760911025063</v>
      </c>
      <c r="J34" s="174" t="s">
        <v>151</v>
      </c>
      <c r="L34" s="164"/>
    </row>
    <row r="35" spans="5:12" x14ac:dyDescent="0.35">
      <c r="E35" s="153" t="s">
        <v>135</v>
      </c>
      <c r="F35" s="154">
        <v>0</v>
      </c>
      <c r="G35" s="155">
        <f>-1845-10266.23</f>
        <v>-12111.23</v>
      </c>
      <c r="H35" s="156">
        <v>-12000</v>
      </c>
      <c r="I35" s="187">
        <f t="shared" si="5"/>
        <v>5.1821282733075187E-2</v>
      </c>
      <c r="J35" s="174" t="s">
        <v>166</v>
      </c>
      <c r="L35" s="164"/>
    </row>
    <row r="36" spans="5:12" x14ac:dyDescent="0.35">
      <c r="E36" s="153" t="s">
        <v>140</v>
      </c>
      <c r="F36" s="154">
        <v>-12000</v>
      </c>
      <c r="G36" s="155">
        <v>0</v>
      </c>
      <c r="H36" s="156">
        <v>-24000</v>
      </c>
      <c r="I36" s="187">
        <f t="shared" si="5"/>
        <v>0.10364256546615037</v>
      </c>
      <c r="J36" s="174" t="s">
        <v>167</v>
      </c>
      <c r="L36" s="164"/>
    </row>
    <row r="37" spans="5:12" x14ac:dyDescent="0.35">
      <c r="E37" s="165" t="s">
        <v>87</v>
      </c>
      <c r="F37" s="166">
        <v>-2362</v>
      </c>
      <c r="G37" s="167">
        <v>-900</v>
      </c>
      <c r="H37" s="168">
        <f>+G37*3</f>
        <v>-2700</v>
      </c>
      <c r="I37" s="187">
        <f t="shared" si="5"/>
        <v>1.1659788614941918E-2</v>
      </c>
      <c r="J37" s="174" t="s">
        <v>153</v>
      </c>
      <c r="L37" s="164"/>
    </row>
    <row r="38" spans="5:12" x14ac:dyDescent="0.35">
      <c r="E38" s="165" t="s">
        <v>143</v>
      </c>
      <c r="F38" s="166">
        <v>-8000</v>
      </c>
      <c r="G38" s="167">
        <f>-2882.33-2825</f>
        <v>-5707.33</v>
      </c>
      <c r="H38" s="168">
        <f>+G38*3</f>
        <v>-17121.989999999998</v>
      </c>
      <c r="I38" s="187">
        <f t="shared" si="5"/>
        <v>7.3940290395240499E-2</v>
      </c>
      <c r="J38" s="174" t="s">
        <v>153</v>
      </c>
      <c r="L38" s="164"/>
    </row>
    <row r="39" spans="5:12" x14ac:dyDescent="0.35">
      <c r="E39" s="153" t="s">
        <v>38</v>
      </c>
      <c r="F39" s="154">
        <v>-24520</v>
      </c>
      <c r="G39" s="155">
        <v>-23973.599999999999</v>
      </c>
      <c r="H39" s="156">
        <f>+F39</f>
        <v>-24520</v>
      </c>
      <c r="I39" s="187">
        <f t="shared" si="5"/>
        <v>0.10588815438458363</v>
      </c>
      <c r="J39" s="174" t="s">
        <v>116</v>
      </c>
      <c r="L39" s="164"/>
    </row>
    <row r="40" spans="5:12" x14ac:dyDescent="0.35">
      <c r="E40" s="153" t="s">
        <v>138</v>
      </c>
      <c r="F40" s="154">
        <v>0</v>
      </c>
      <c r="G40" s="155">
        <v>0</v>
      </c>
      <c r="H40" s="156">
        <v>-10000</v>
      </c>
      <c r="I40" s="187">
        <f t="shared" si="5"/>
        <v>4.3184402277562657E-2</v>
      </c>
      <c r="J40" s="174" t="s">
        <v>168</v>
      </c>
    </row>
    <row r="41" spans="5:12" x14ac:dyDescent="0.35">
      <c r="E41" s="153" t="s">
        <v>137</v>
      </c>
      <c r="F41" s="154">
        <v>0</v>
      </c>
      <c r="G41" s="155">
        <v>-2783.85</v>
      </c>
      <c r="H41" s="156">
        <f>+G41*3</f>
        <v>-8351.5499999999993</v>
      </c>
      <c r="I41" s="187">
        <f t="shared" si="5"/>
        <v>3.6065669484117838E-2</v>
      </c>
      <c r="J41" s="174" t="s">
        <v>153</v>
      </c>
    </row>
    <row r="42" spans="5:12" x14ac:dyDescent="0.35">
      <c r="E42" s="153" t="s">
        <v>139</v>
      </c>
      <c r="F42" s="154">
        <v>0</v>
      </c>
      <c r="G42" s="155">
        <v>0</v>
      </c>
      <c r="H42" s="156">
        <f>+H41</f>
        <v>-8351.5499999999993</v>
      </c>
      <c r="I42" s="187">
        <f t="shared" si="5"/>
        <v>3.6065669484117838E-2</v>
      </c>
      <c r="J42" s="174" t="s">
        <v>169</v>
      </c>
    </row>
    <row r="43" spans="5:12" ht="16" thickBot="1" x14ac:dyDescent="0.4">
      <c r="E43" s="157" t="s">
        <v>144</v>
      </c>
      <c r="F43" s="158">
        <v>0</v>
      </c>
      <c r="G43" s="159">
        <v>0</v>
      </c>
      <c r="H43" s="160">
        <f>+H39</f>
        <v>-24520</v>
      </c>
      <c r="I43" s="187">
        <f t="shared" si="5"/>
        <v>0.10588815438458363</v>
      </c>
      <c r="J43" s="174" t="s">
        <v>170</v>
      </c>
    </row>
    <row r="44" spans="5:12" ht="16.5" thickTop="1" thickBot="1" x14ac:dyDescent="0.4">
      <c r="E44" s="161" t="s">
        <v>129</v>
      </c>
      <c r="F44" s="162">
        <f>SUM(F33:F43)</f>
        <v>-46882</v>
      </c>
      <c r="G44" s="162">
        <f>SUM(G33:G43)</f>
        <v>-48183.509999999995</v>
      </c>
      <c r="H44" s="163">
        <f>SUM(H33:H43)</f>
        <v>-231565.08999999997</v>
      </c>
      <c r="I44" s="190">
        <f>+H44/(H44+H22)</f>
        <v>0.55935194419345902</v>
      </c>
      <c r="J44" s="174" t="s">
        <v>183</v>
      </c>
    </row>
    <row r="45" spans="5:12" ht="5.5" customHeight="1" thickBot="1" x14ac:dyDescent="0.4">
      <c r="L45" s="164"/>
    </row>
    <row r="46" spans="5:12" ht="16" thickBot="1" x14ac:dyDescent="0.4">
      <c r="E46" s="169" t="s">
        <v>148</v>
      </c>
      <c r="F46" s="170">
        <f>+F30+F44</f>
        <v>-18088</v>
      </c>
      <c r="G46" s="170">
        <f>+G30+G44</f>
        <v>-47983.509999999995</v>
      </c>
      <c r="H46" s="176">
        <f>+H30+H44</f>
        <v>-90977.089999999967</v>
      </c>
      <c r="I46" s="174"/>
      <c r="J46" s="174" t="s">
        <v>171</v>
      </c>
      <c r="L46" s="164"/>
    </row>
    <row r="47" spans="5:12" ht="16" thickBot="1" x14ac:dyDescent="0.4"/>
    <row r="48" spans="5:12" ht="16" thickBot="1" x14ac:dyDescent="0.4">
      <c r="E48" s="171" t="s">
        <v>149</v>
      </c>
      <c r="F48" s="172">
        <f>+F24+F46</f>
        <v>11689.140681499979</v>
      </c>
      <c r="G48" s="172" t="e">
        <f>+G24+G46</f>
        <v>#REF!</v>
      </c>
      <c r="H48" s="173" t="e">
        <f>+H24+H46</f>
        <v>#REF!</v>
      </c>
      <c r="I48" s="174"/>
      <c r="J48" s="174" t="s">
        <v>172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B3FA-6BE0-40D4-8621-BD7DF3C8EC26}">
  <sheetPr>
    <tabColor rgb="FFCC9900"/>
  </sheetPr>
  <dimension ref="B1:L48"/>
  <sheetViews>
    <sheetView zoomScale="85" zoomScaleNormal="85" workbookViewId="0">
      <selection activeCell="H48" sqref="H48:I48"/>
    </sheetView>
  </sheetViews>
  <sheetFormatPr defaultRowHeight="15.5" x14ac:dyDescent="0.35"/>
  <cols>
    <col min="1" max="1" width="3.5" style="104" customWidth="1"/>
    <col min="2" max="2" width="18.75" style="104" customWidth="1"/>
    <col min="3" max="3" width="14.33203125" style="104" customWidth="1"/>
    <col min="4" max="4" width="3.75" style="104" customWidth="1"/>
    <col min="5" max="5" width="46.58203125" style="104" customWidth="1"/>
    <col min="6" max="6" width="14.33203125" style="104" bestFit="1" customWidth="1"/>
    <col min="7" max="7" width="15.25" style="104" bestFit="1" customWidth="1"/>
    <col min="8" max="8" width="20.58203125" style="104" bestFit="1" customWidth="1"/>
    <col min="9" max="9" width="6" style="183" bestFit="1" customWidth="1"/>
    <col min="10" max="10" width="8.6640625" style="174" customWidth="1"/>
    <col min="11" max="11" width="8.6640625" style="104"/>
    <col min="12" max="12" width="13.25" style="104" bestFit="1" customWidth="1"/>
    <col min="13" max="16384" width="8.6640625" style="104"/>
  </cols>
  <sheetData>
    <row r="1" spans="2:10" ht="16" thickBot="1" x14ac:dyDescent="0.4"/>
    <row r="2" spans="2:10" x14ac:dyDescent="0.35">
      <c r="B2" s="105" t="s">
        <v>121</v>
      </c>
      <c r="C2" s="178">
        <v>23085.91</v>
      </c>
      <c r="E2" s="110" t="s">
        <v>124</v>
      </c>
      <c r="F2" s="111" t="s">
        <v>125</v>
      </c>
      <c r="G2" s="111" t="s">
        <v>126</v>
      </c>
      <c r="H2" s="112" t="s">
        <v>127</v>
      </c>
      <c r="I2" s="179" t="s">
        <v>179</v>
      </c>
      <c r="J2" s="175" t="s">
        <v>152</v>
      </c>
    </row>
    <row r="3" spans="2:10" x14ac:dyDescent="0.35">
      <c r="B3" s="106"/>
      <c r="C3" s="107"/>
      <c r="E3" s="113" t="s">
        <v>123</v>
      </c>
      <c r="F3" s="114">
        <f>+'Orçado x Realizado'!D88</f>
        <v>132353</v>
      </c>
      <c r="G3" s="129" t="e">
        <f>+'Orçado x Realizado'!E88</f>
        <v>#REF!</v>
      </c>
      <c r="H3" s="130" t="e">
        <f>+G3*3</f>
        <v>#REF!</v>
      </c>
      <c r="I3" s="184" t="e">
        <f>+H3/$H$6</f>
        <v>#REF!</v>
      </c>
      <c r="J3" s="174" t="s">
        <v>153</v>
      </c>
    </row>
    <row r="4" spans="2:10" x14ac:dyDescent="0.35">
      <c r="B4" s="106"/>
      <c r="C4" s="107"/>
      <c r="E4" s="113" t="s">
        <v>132</v>
      </c>
      <c r="F4" s="114">
        <f>+'Orçado x Realizado'!D93</f>
        <v>6801.11</v>
      </c>
      <c r="G4" s="129" t="e">
        <f>+'Orçado x Realizado'!E93</f>
        <v>#REF!</v>
      </c>
      <c r="H4" s="130">
        <v>0</v>
      </c>
      <c r="I4" s="184" t="e">
        <f t="shared" ref="I4:I5" si="0">+H4/$H$6</f>
        <v>#REF!</v>
      </c>
      <c r="J4" s="174" t="s">
        <v>154</v>
      </c>
    </row>
    <row r="5" spans="2:10" ht="16" thickBot="1" x14ac:dyDescent="0.4">
      <c r="B5" s="106"/>
      <c r="C5" s="107"/>
      <c r="E5" s="115" t="s">
        <v>146</v>
      </c>
      <c r="F5" s="116">
        <v>0</v>
      </c>
      <c r="G5" s="131">
        <v>0</v>
      </c>
      <c r="H5" s="132">
        <f>+C11+C2-H29</f>
        <v>101212.97</v>
      </c>
      <c r="I5" s="184" t="e">
        <f t="shared" si="0"/>
        <v>#REF!</v>
      </c>
      <c r="J5" s="174" t="s">
        <v>155</v>
      </c>
    </row>
    <row r="6" spans="2:10" ht="16.5" thickTop="1" thickBot="1" x14ac:dyDescent="0.4">
      <c r="B6" s="106"/>
      <c r="C6" s="107"/>
      <c r="E6" s="117" t="s">
        <v>128</v>
      </c>
      <c r="F6" s="118">
        <f>SUM(F3:F5)</f>
        <v>139154.10999999999</v>
      </c>
      <c r="G6" s="118" t="e">
        <f>SUM(G3:G5)</f>
        <v>#REF!</v>
      </c>
      <c r="H6" s="133" t="e">
        <f>SUM(H3:H5)</f>
        <v>#REF!</v>
      </c>
      <c r="I6" s="188" t="e">
        <f>+H6/(H6+H30)</f>
        <v>#REF!</v>
      </c>
      <c r="J6" s="174" t="s">
        <v>180</v>
      </c>
    </row>
    <row r="7" spans="2:10" ht="5.5" customHeight="1" thickBot="1" x14ac:dyDescent="0.4">
      <c r="B7" s="106"/>
      <c r="C7" s="107"/>
      <c r="E7" s="119"/>
      <c r="F7" s="119"/>
      <c r="G7" s="119"/>
      <c r="H7" s="119"/>
    </row>
    <row r="8" spans="2:10" x14ac:dyDescent="0.35">
      <c r="B8" s="106"/>
      <c r="C8" s="107"/>
      <c r="E8" s="120" t="s">
        <v>130</v>
      </c>
      <c r="F8" s="121" t="s">
        <v>125</v>
      </c>
      <c r="G8" s="121" t="s">
        <v>126</v>
      </c>
      <c r="H8" s="122" t="s">
        <v>127</v>
      </c>
      <c r="I8" s="180" t="s">
        <v>179</v>
      </c>
    </row>
    <row r="9" spans="2:10" ht="16" thickBot="1" x14ac:dyDescent="0.4">
      <c r="B9" s="108"/>
      <c r="C9" s="109"/>
      <c r="E9" s="123" t="s">
        <v>25</v>
      </c>
      <c r="F9" s="124">
        <v>-1192</v>
      </c>
      <c r="G9" s="135">
        <v>-1212</v>
      </c>
      <c r="H9" s="136">
        <f>-1212*1.1</f>
        <v>-1333.2</v>
      </c>
      <c r="I9" s="185">
        <f>+H9/$H$22</f>
        <v>7.9219572411110082E-3</v>
      </c>
      <c r="J9" s="174" t="s">
        <v>156</v>
      </c>
    </row>
    <row r="10" spans="2:10" ht="16" thickBot="1" x14ac:dyDescent="0.4">
      <c r="E10" s="123" t="s">
        <v>26</v>
      </c>
      <c r="F10" s="124">
        <v>-15026</v>
      </c>
      <c r="G10" s="135">
        <v>-11002.04</v>
      </c>
      <c r="H10" s="136">
        <f>+G10*1.1</f>
        <v>-12102.244000000002</v>
      </c>
      <c r="I10" s="185">
        <f t="shared" ref="I10:I21" si="1">+H10/$H$22</f>
        <v>7.1912285845703763E-2</v>
      </c>
      <c r="J10" s="174" t="s">
        <v>156</v>
      </c>
    </row>
    <row r="11" spans="2:10" x14ac:dyDescent="0.35">
      <c r="B11" s="105" t="s">
        <v>122</v>
      </c>
      <c r="C11" s="178">
        <v>161127.06</v>
      </c>
      <c r="E11" s="123" t="s">
        <v>141</v>
      </c>
      <c r="F11" s="124">
        <v>0</v>
      </c>
      <c r="G11" s="135">
        <v>0</v>
      </c>
      <c r="H11" s="136">
        <v>-30000</v>
      </c>
      <c r="I11" s="185">
        <f t="shared" si="1"/>
        <v>0.17826186411140882</v>
      </c>
      <c r="J11" s="174" t="s">
        <v>173</v>
      </c>
    </row>
    <row r="12" spans="2:10" x14ac:dyDescent="0.35">
      <c r="B12" s="106"/>
      <c r="C12" s="107"/>
      <c r="E12" s="123" t="s">
        <v>115</v>
      </c>
      <c r="F12" s="124">
        <f>-2454.33-480</f>
        <v>-2934.33</v>
      </c>
      <c r="G12" s="135">
        <v>-261.47000000000003</v>
      </c>
      <c r="H12" s="136">
        <f>+F12*2</f>
        <v>-5868.66</v>
      </c>
      <c r="I12" s="185">
        <f t="shared" si="1"/>
        <v>3.487194238120201E-2</v>
      </c>
      <c r="J12" s="174" t="s">
        <v>174</v>
      </c>
    </row>
    <row r="13" spans="2:10" x14ac:dyDescent="0.35">
      <c r="B13" s="106"/>
      <c r="C13" s="107"/>
      <c r="E13" s="123" t="s">
        <v>111</v>
      </c>
      <c r="F13" s="124">
        <v>-1100</v>
      </c>
      <c r="G13" s="135">
        <v>-577.62</v>
      </c>
      <c r="H13" s="136">
        <f>+G13*3</f>
        <v>-1732.8600000000001</v>
      </c>
      <c r="I13" s="185">
        <f t="shared" si="1"/>
        <v>1.0296761794803197E-2</v>
      </c>
      <c r="J13" s="174" t="s">
        <v>175</v>
      </c>
    </row>
    <row r="14" spans="2:10" x14ac:dyDescent="0.35">
      <c r="B14" s="106"/>
      <c r="C14" s="107"/>
      <c r="E14" s="123" t="s">
        <v>19</v>
      </c>
      <c r="F14" s="124">
        <v>-8268</v>
      </c>
      <c r="G14" s="135">
        <v>-3600</v>
      </c>
      <c r="H14" s="136">
        <f>+G14*3</f>
        <v>-10800</v>
      </c>
      <c r="I14" s="185">
        <f t="shared" si="1"/>
        <v>6.4174271080107176E-2</v>
      </c>
      <c r="J14" s="174" t="s">
        <v>153</v>
      </c>
    </row>
    <row r="15" spans="2:10" ht="16" thickBot="1" x14ac:dyDescent="0.4">
      <c r="B15" s="108"/>
      <c r="C15" s="109"/>
      <c r="E15" s="123" t="s">
        <v>20</v>
      </c>
      <c r="F15" s="124">
        <v>-4185</v>
      </c>
      <c r="G15" s="135">
        <v>-1864.3400000000001</v>
      </c>
      <c r="H15" s="136">
        <v>-500</v>
      </c>
      <c r="I15" s="185">
        <f t="shared" si="1"/>
        <v>2.9710310685234801E-3</v>
      </c>
      <c r="J15" s="174" t="s">
        <v>158</v>
      </c>
    </row>
    <row r="16" spans="2:10" x14ac:dyDescent="0.35">
      <c r="E16" s="123" t="s">
        <v>21</v>
      </c>
      <c r="F16" s="124">
        <v>-390.76</v>
      </c>
      <c r="G16" s="135">
        <v>-1886.8799999999999</v>
      </c>
      <c r="H16" s="136">
        <v>-500</v>
      </c>
      <c r="I16" s="185">
        <f t="shared" si="1"/>
        <v>2.9710310685234801E-3</v>
      </c>
      <c r="J16" s="174" t="s">
        <v>159</v>
      </c>
    </row>
    <row r="17" spans="3:12" x14ac:dyDescent="0.35">
      <c r="E17" s="123" t="s">
        <v>27</v>
      </c>
      <c r="F17" s="124">
        <v>-11600</v>
      </c>
      <c r="G17" s="135">
        <v>0</v>
      </c>
      <c r="H17" s="136">
        <f>+F17</f>
        <v>-11600</v>
      </c>
      <c r="I17" s="185">
        <f t="shared" si="1"/>
        <v>6.8927920789744745E-2</v>
      </c>
      <c r="J17" s="174" t="s">
        <v>160</v>
      </c>
    </row>
    <row r="18" spans="3:12" x14ac:dyDescent="0.35">
      <c r="E18" s="123" t="s">
        <v>39</v>
      </c>
      <c r="F18" s="124">
        <f>+'Orçado x Realizado'!J26</f>
        <v>-40148.3293185</v>
      </c>
      <c r="G18" s="135">
        <v>-16169.41</v>
      </c>
      <c r="H18" s="136">
        <f>+G18*3</f>
        <v>-48508.229999999996</v>
      </c>
      <c r="I18" s="185">
        <f t="shared" si="1"/>
        <v>0.28823891681816544</v>
      </c>
      <c r="J18" s="174" t="s">
        <v>153</v>
      </c>
    </row>
    <row r="19" spans="3:12" x14ac:dyDescent="0.35">
      <c r="E19" s="123" t="s">
        <v>24</v>
      </c>
      <c r="F19" s="124">
        <v>-9754.5499999999993</v>
      </c>
      <c r="G19" s="135">
        <v>-8567.09</v>
      </c>
      <c r="H19" s="136">
        <f>+G19</f>
        <v>-8567.09</v>
      </c>
      <c r="I19" s="185">
        <f t="shared" si="1"/>
        <v>5.0906181113673642E-2</v>
      </c>
      <c r="J19" s="174" t="s">
        <v>161</v>
      </c>
    </row>
    <row r="20" spans="3:12" x14ac:dyDescent="0.35">
      <c r="C20" s="192">
        <f>192973.45-C11-C2</f>
        <v>8760.4800000000141</v>
      </c>
      <c r="E20" s="123" t="s">
        <v>23</v>
      </c>
      <c r="F20" s="124">
        <f>-5679-4699</f>
        <v>-10378</v>
      </c>
      <c r="G20" s="135">
        <v>-49.86</v>
      </c>
      <c r="H20" s="136">
        <f>+F20*1.5</f>
        <v>-15567</v>
      </c>
      <c r="I20" s="185">
        <f t="shared" si="1"/>
        <v>9.2500081287410038E-2</v>
      </c>
      <c r="J20" s="174" t="s">
        <v>162</v>
      </c>
      <c r="L20" s="164"/>
    </row>
    <row r="21" spans="3:12" ht="16" thickBot="1" x14ac:dyDescent="0.4">
      <c r="E21" s="125" t="s">
        <v>88</v>
      </c>
      <c r="F21" s="126">
        <v>-4400</v>
      </c>
      <c r="G21" s="126">
        <v>-7070.82</v>
      </c>
      <c r="H21" s="137">
        <f>+G21*3</f>
        <v>-21212.46</v>
      </c>
      <c r="I21" s="185">
        <f t="shared" si="1"/>
        <v>0.12604575539962315</v>
      </c>
      <c r="J21" s="174" t="s">
        <v>153</v>
      </c>
      <c r="L21" s="164"/>
    </row>
    <row r="22" spans="3:12" ht="16.5" thickTop="1" thickBot="1" x14ac:dyDescent="0.4">
      <c r="E22" s="127" t="s">
        <v>129</v>
      </c>
      <c r="F22" s="128">
        <f>SUM(F9:F21)</f>
        <v>-109376.96931850001</v>
      </c>
      <c r="G22" s="128">
        <f>SUM(G9:G21)</f>
        <v>-52261.530000000006</v>
      </c>
      <c r="H22" s="134">
        <f>SUM(H9:H21)</f>
        <v>-168291.74400000001</v>
      </c>
      <c r="I22" s="189">
        <f>+H22/(H22+H44)</f>
        <v>0.46790969597156196</v>
      </c>
      <c r="J22" s="174" t="s">
        <v>181</v>
      </c>
      <c r="L22" s="164"/>
    </row>
    <row r="23" spans="3:12" ht="5.5" customHeight="1" thickBot="1" x14ac:dyDescent="0.4">
      <c r="L23" s="164"/>
    </row>
    <row r="24" spans="3:12" ht="16" thickBot="1" x14ac:dyDescent="0.4">
      <c r="E24" s="169" t="s">
        <v>147</v>
      </c>
      <c r="F24" s="170">
        <f>+F6+F22</f>
        <v>29777.140681499979</v>
      </c>
      <c r="G24" s="170" t="e">
        <f>+G6+G22</f>
        <v>#REF!</v>
      </c>
      <c r="H24" s="177" t="e">
        <f>+H6+H22</f>
        <v>#REF!</v>
      </c>
      <c r="I24" s="174"/>
      <c r="L24" s="164"/>
    </row>
    <row r="25" spans="3:12" ht="16" thickBot="1" x14ac:dyDescent="0.4">
      <c r="L25" s="164"/>
    </row>
    <row r="26" spans="3:12" x14ac:dyDescent="0.35">
      <c r="E26" s="138" t="s">
        <v>131</v>
      </c>
      <c r="F26" s="139" t="s">
        <v>125</v>
      </c>
      <c r="G26" s="139" t="s">
        <v>126</v>
      </c>
      <c r="H26" s="140" t="s">
        <v>127</v>
      </c>
      <c r="I26" s="181" t="s">
        <v>179</v>
      </c>
      <c r="L26" s="164"/>
    </row>
    <row r="27" spans="3:12" x14ac:dyDescent="0.35">
      <c r="E27" s="141" t="s">
        <v>17</v>
      </c>
      <c r="F27" s="142">
        <f>+'Orçado x Realizado'!D92</f>
        <v>28794</v>
      </c>
      <c r="G27" s="142">
        <f>+'Orçado x Realizado'!E92</f>
        <v>0</v>
      </c>
      <c r="H27" s="143">
        <f>+F27*2</f>
        <v>57588</v>
      </c>
      <c r="I27" s="186">
        <f>+H27/$H$30</f>
        <v>0.40962244288274957</v>
      </c>
      <c r="J27" s="174" t="s">
        <v>163</v>
      </c>
      <c r="L27" s="164"/>
    </row>
    <row r="28" spans="3:12" x14ac:dyDescent="0.35">
      <c r="E28" s="141" t="s">
        <v>15</v>
      </c>
      <c r="F28" s="142">
        <v>0</v>
      </c>
      <c r="G28" s="142">
        <v>200</v>
      </c>
      <c r="H28" s="143">
        <f>+F28*2</f>
        <v>0</v>
      </c>
      <c r="I28" s="186">
        <f t="shared" ref="I28:I29" si="2">+H28/$H$30</f>
        <v>0</v>
      </c>
      <c r="J28" s="174" t="s">
        <v>164</v>
      </c>
      <c r="L28" s="164"/>
    </row>
    <row r="29" spans="3:12" ht="16" thickBot="1" x14ac:dyDescent="0.4">
      <c r="E29" s="144" t="s">
        <v>145</v>
      </c>
      <c r="F29" s="145">
        <v>0</v>
      </c>
      <c r="G29" s="145">
        <v>0</v>
      </c>
      <c r="H29" s="146">
        <v>83000</v>
      </c>
      <c r="I29" s="186">
        <f t="shared" si="2"/>
        <v>0.59037755711725037</v>
      </c>
      <c r="L29" s="164"/>
    </row>
    <row r="30" spans="3:12" ht="16.5" thickTop="1" thickBot="1" x14ac:dyDescent="0.4">
      <c r="E30" s="147" t="s">
        <v>133</v>
      </c>
      <c r="F30" s="148">
        <f>SUM(F26:F29)</f>
        <v>28794</v>
      </c>
      <c r="G30" s="148">
        <f t="shared" ref="G30:H30" si="3">SUM(G26:G29)</f>
        <v>200</v>
      </c>
      <c r="H30" s="149">
        <f t="shared" si="3"/>
        <v>140588</v>
      </c>
      <c r="I30" s="191" t="e">
        <f>+H30/(H30+H6)</f>
        <v>#REF!</v>
      </c>
      <c r="J30" s="174" t="s">
        <v>182</v>
      </c>
      <c r="L30" s="164"/>
    </row>
    <row r="31" spans="3:12" ht="5.5" customHeight="1" thickBot="1" x14ac:dyDescent="0.4">
      <c r="E31" s="119"/>
      <c r="F31" s="119"/>
      <c r="G31" s="119"/>
      <c r="H31" s="119"/>
      <c r="L31" s="164"/>
    </row>
    <row r="32" spans="3:12" x14ac:dyDescent="0.35">
      <c r="E32" s="150" t="s">
        <v>134</v>
      </c>
      <c r="F32" s="151" t="s">
        <v>125</v>
      </c>
      <c r="G32" s="151" t="s">
        <v>126</v>
      </c>
      <c r="H32" s="152" t="s">
        <v>127</v>
      </c>
      <c r="I32" s="182" t="s">
        <v>179</v>
      </c>
      <c r="L32" s="164"/>
    </row>
    <row r="33" spans="5:12" x14ac:dyDescent="0.35">
      <c r="E33" s="153" t="s">
        <v>142</v>
      </c>
      <c r="F33" s="154">
        <v>0</v>
      </c>
      <c r="G33" s="155">
        <v>0</v>
      </c>
      <c r="H33" s="156">
        <f>-60*750</f>
        <v>-45000</v>
      </c>
      <c r="I33" s="187">
        <f>+H33/$H$44</f>
        <v>0.23513993961606347</v>
      </c>
      <c r="J33" s="174" t="s">
        <v>176</v>
      </c>
      <c r="L33" s="164"/>
    </row>
    <row r="34" spans="5:12" x14ac:dyDescent="0.35">
      <c r="E34" s="153" t="s">
        <v>136</v>
      </c>
      <c r="F34" s="154">
        <v>0</v>
      </c>
      <c r="G34" s="155">
        <v>-2707.5</v>
      </c>
      <c r="H34" s="156">
        <f>-6000*5</f>
        <v>-30000</v>
      </c>
      <c r="I34" s="187">
        <f t="shared" ref="I34:I43" si="4">+H34/$H$44</f>
        <v>0.15675995974404233</v>
      </c>
      <c r="J34" s="174" t="s">
        <v>177</v>
      </c>
      <c r="L34" s="164"/>
    </row>
    <row r="35" spans="5:12" x14ac:dyDescent="0.35">
      <c r="E35" s="153" t="s">
        <v>135</v>
      </c>
      <c r="F35" s="154">
        <v>0</v>
      </c>
      <c r="G35" s="155">
        <f>-1845-10266.23</f>
        <v>-12111.23</v>
      </c>
      <c r="H35" s="156">
        <v>-6000</v>
      </c>
      <c r="I35" s="187">
        <f t="shared" si="4"/>
        <v>3.1351991948808465E-2</v>
      </c>
      <c r="J35" s="174" t="s">
        <v>166</v>
      </c>
      <c r="L35" s="164"/>
    </row>
    <row r="36" spans="5:12" x14ac:dyDescent="0.35">
      <c r="E36" s="153" t="s">
        <v>140</v>
      </c>
      <c r="F36" s="154">
        <v>-12000</v>
      </c>
      <c r="G36" s="155">
        <v>0</v>
      </c>
      <c r="H36" s="156">
        <v>-24000</v>
      </c>
      <c r="I36" s="187">
        <f t="shared" si="4"/>
        <v>0.12540796779523386</v>
      </c>
      <c r="J36" s="174" t="s">
        <v>167</v>
      </c>
      <c r="L36" s="164"/>
    </row>
    <row r="37" spans="5:12" x14ac:dyDescent="0.35">
      <c r="E37" s="165" t="s">
        <v>87</v>
      </c>
      <c r="F37" s="166">
        <v>-2362</v>
      </c>
      <c r="G37" s="167">
        <v>-900</v>
      </c>
      <c r="H37" s="168">
        <f>+G37*3</f>
        <v>-2700</v>
      </c>
      <c r="I37" s="187">
        <f t="shared" si="4"/>
        <v>1.4108396376963808E-2</v>
      </c>
      <c r="J37" s="174" t="s">
        <v>178</v>
      </c>
      <c r="L37" s="164"/>
    </row>
    <row r="38" spans="5:12" x14ac:dyDescent="0.35">
      <c r="E38" s="165" t="s">
        <v>143</v>
      </c>
      <c r="F38" s="166">
        <v>-8000</v>
      </c>
      <c r="G38" s="167">
        <f>-2882.33-2825</f>
        <v>-5707.33</v>
      </c>
      <c r="H38" s="168">
        <v>-16000</v>
      </c>
      <c r="I38" s="187">
        <f t="shared" si="4"/>
        <v>8.360531186348924E-2</v>
      </c>
      <c r="J38" s="174" t="s">
        <v>178</v>
      </c>
      <c r="L38" s="164"/>
    </row>
    <row r="39" spans="5:12" x14ac:dyDescent="0.35">
      <c r="E39" s="153" t="s">
        <v>38</v>
      </c>
      <c r="F39" s="154">
        <v>-24520</v>
      </c>
      <c r="G39" s="155">
        <v>-23973.599999999999</v>
      </c>
      <c r="H39" s="156">
        <f>+F39</f>
        <v>-24520</v>
      </c>
      <c r="I39" s="187">
        <f t="shared" si="4"/>
        <v>0.12812514043079726</v>
      </c>
      <c r="J39" s="174" t="s">
        <v>116</v>
      </c>
      <c r="L39" s="164"/>
    </row>
    <row r="40" spans="5:12" x14ac:dyDescent="0.35">
      <c r="E40" s="153" t="s">
        <v>138</v>
      </c>
      <c r="F40" s="154">
        <v>0</v>
      </c>
      <c r="G40" s="155">
        <v>0</v>
      </c>
      <c r="H40" s="156">
        <v>-7500</v>
      </c>
      <c r="I40" s="187">
        <f t="shared" si="4"/>
        <v>3.9189989936010583E-2</v>
      </c>
      <c r="J40" s="174" t="s">
        <v>168</v>
      </c>
    </row>
    <row r="41" spans="5:12" x14ac:dyDescent="0.35">
      <c r="E41" s="153" t="s">
        <v>137</v>
      </c>
      <c r="F41" s="154">
        <v>0</v>
      </c>
      <c r="G41" s="155">
        <v>-2783.85</v>
      </c>
      <c r="H41" s="156">
        <f>+G41*2</f>
        <v>-5567.7</v>
      </c>
      <c r="I41" s="187">
        <f t="shared" si="4"/>
        <v>2.9093080928896814E-2</v>
      </c>
      <c r="J41" s="174" t="s">
        <v>175</v>
      </c>
    </row>
    <row r="42" spans="5:12" x14ac:dyDescent="0.35">
      <c r="E42" s="153" t="s">
        <v>139</v>
      </c>
      <c r="F42" s="154">
        <v>0</v>
      </c>
      <c r="G42" s="155">
        <v>0</v>
      </c>
      <c r="H42" s="156">
        <f>+H41</f>
        <v>-5567.7</v>
      </c>
      <c r="I42" s="187">
        <f t="shared" si="4"/>
        <v>2.9093080928896814E-2</v>
      </c>
      <c r="J42" s="174" t="s">
        <v>169</v>
      </c>
    </row>
    <row r="43" spans="5:12" ht="16" thickBot="1" x14ac:dyDescent="0.4">
      <c r="E43" s="157" t="s">
        <v>187</v>
      </c>
      <c r="F43" s="158">
        <v>0</v>
      </c>
      <c r="G43" s="159">
        <v>0</v>
      </c>
      <c r="H43" s="160">
        <f>+H39</f>
        <v>-24520</v>
      </c>
      <c r="I43" s="187">
        <f t="shared" si="4"/>
        <v>0.12812514043079726</v>
      </c>
      <c r="J43" s="174" t="s">
        <v>170</v>
      </c>
    </row>
    <row r="44" spans="5:12" ht="16.5" thickTop="1" thickBot="1" x14ac:dyDescent="0.4">
      <c r="E44" s="161" t="s">
        <v>129</v>
      </c>
      <c r="F44" s="162">
        <f>SUM(F33:F43)</f>
        <v>-46882</v>
      </c>
      <c r="G44" s="162">
        <f>SUM(G33:G43)</f>
        <v>-48183.509999999995</v>
      </c>
      <c r="H44" s="163">
        <f>SUM(H33:H43)</f>
        <v>-191375.40000000002</v>
      </c>
      <c r="I44" s="190">
        <f>+H44/(H44+H22)</f>
        <v>0.53209030402843804</v>
      </c>
      <c r="J44" s="174" t="s">
        <v>183</v>
      </c>
    </row>
    <row r="45" spans="5:12" ht="5.5" customHeight="1" thickBot="1" x14ac:dyDescent="0.4">
      <c r="L45" s="164"/>
    </row>
    <row r="46" spans="5:12" ht="16" thickBot="1" x14ac:dyDescent="0.4">
      <c r="E46" s="169" t="s">
        <v>148</v>
      </c>
      <c r="F46" s="170">
        <f>+F30+F44</f>
        <v>-18088</v>
      </c>
      <c r="G46" s="170">
        <f>+G30+G44</f>
        <v>-47983.509999999995</v>
      </c>
      <c r="H46" s="176">
        <f>+H30+H44</f>
        <v>-50787.400000000023</v>
      </c>
      <c r="I46" s="174"/>
      <c r="J46" s="174" t="s">
        <v>185</v>
      </c>
      <c r="L46" s="164"/>
    </row>
    <row r="47" spans="5:12" ht="16" thickBot="1" x14ac:dyDescent="0.4"/>
    <row r="48" spans="5:12" ht="16" thickBot="1" x14ac:dyDescent="0.4">
      <c r="E48" s="171" t="s">
        <v>149</v>
      </c>
      <c r="F48" s="172">
        <f>+F24+F46</f>
        <v>11689.140681499979</v>
      </c>
      <c r="G48" s="172" t="e">
        <f>+G24+G46</f>
        <v>#REF!</v>
      </c>
      <c r="H48" s="173" t="e">
        <f>+H24+H46</f>
        <v>#REF!</v>
      </c>
      <c r="I48" s="174"/>
      <c r="J48" s="174" t="s">
        <v>186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Orçado x Realizado</vt:lpstr>
      <vt:lpstr>Receitas</vt:lpstr>
      <vt:lpstr>Despesas</vt:lpstr>
      <vt:lpstr>Orçamento jul-dez_2022 + 2023</vt:lpstr>
      <vt:lpstr>Real x orçado jul2022-jun2023</vt:lpstr>
      <vt:lpstr>Propostas 2024-2026</vt:lpstr>
      <vt:lpstr>Para consulta à comunidade</vt:lpstr>
      <vt:lpstr>Orçamento 2022-2 + 2023 (A)</vt:lpstr>
      <vt:lpstr>Orçamento 2022-2 + 2023 (B)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Riva Finatti</dc:creator>
  <cp:lastModifiedBy>Rafael Riva Finatti</cp:lastModifiedBy>
  <dcterms:created xsi:type="dcterms:W3CDTF">2022-04-08T15:08:21Z</dcterms:created>
  <dcterms:modified xsi:type="dcterms:W3CDTF">2023-09-04T13:59:31Z</dcterms:modified>
</cp:coreProperties>
</file>