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threadedComments/threadedComment4.xml" ContentType="application/vnd.ms-excel.threaded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ucpredu-my.sharepoint.com/personal/rafael_finatti_grupomarista_org_br/Documents/Documents/Particular/CVX/CEN/Financeiro/"/>
    </mc:Choice>
  </mc:AlternateContent>
  <xr:revisionPtr revIDLastSave="1422" documentId="8_{85A70A27-CE33-4D39-B72D-266694399E8C}" xr6:coauthVersionLast="47" xr6:coauthVersionMax="47" xr10:uidLastSave="{BA2E05A7-6C7D-4D30-AEAD-0D8EE04A1BA2}"/>
  <bookViews>
    <workbookView xWindow="28680" yWindow="-120" windowWidth="29040" windowHeight="15840" firstSheet="4" activeTab="9" xr2:uid="{00000000-000D-0000-FFFF-FFFF00000000}"/>
  </bookViews>
  <sheets>
    <sheet name="Orçado x Realizado" sheetId="2" state="hidden" r:id="rId1"/>
    <sheet name="Receitas" sheetId="3" state="hidden" r:id="rId2"/>
    <sheet name="Despesas" sheetId="5" state="hidden" r:id="rId3"/>
    <sheet name="Comunidades 2022" sheetId="14" state="hidden" r:id="rId4"/>
    <sheet name="TRI1" sheetId="6" r:id="rId5"/>
    <sheet name="TRI2" sheetId="8" r:id="rId6"/>
    <sheet name="Orçamento Aprovado" sheetId="12" r:id="rId7"/>
    <sheet name="TRI3" sheetId="11" r:id="rId8"/>
    <sheet name="TRI4" sheetId="16" r:id="rId9"/>
    <sheet name="Acompanhamento" sheetId="15" r:id="rId10"/>
    <sheet name="TRI5" sheetId="17" state="hidden" r:id="rId11"/>
    <sheet name="TRI6" sheetId="18" state="hidden" r:id="rId12"/>
    <sheet name="TRI7" sheetId="19" state="hidden" r:id="rId13"/>
    <sheet name="TRI8" sheetId="20" state="hidden" r:id="rId14"/>
    <sheet name="Magis VI" sheetId="21" state="hidden" r:id="rId15"/>
    <sheet name="Orçamento 2022-2 + 2023 (A)" sheetId="9" state="hidden" r:id="rId16"/>
    <sheet name="Orçamento 2022-2 + 2023 (B)" sheetId="10" state="hidden" r:id="rId17"/>
    <sheet name="Listas" sheetId="4" state="hidden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16" l="1"/>
  <c r="C11" i="15"/>
  <c r="C12" i="15"/>
  <c r="N3" i="15"/>
  <c r="N43" i="15"/>
  <c r="N42" i="15"/>
  <c r="N41" i="15"/>
  <c r="N40" i="15"/>
  <c r="N39" i="15"/>
  <c r="N38" i="15"/>
  <c r="N37" i="15"/>
  <c r="N36" i="15"/>
  <c r="N35" i="15"/>
  <c r="N34" i="15"/>
  <c r="N33" i="15"/>
  <c r="N27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9" i="15"/>
  <c r="J44" i="15"/>
  <c r="J30" i="15"/>
  <c r="J46" i="15" s="1"/>
  <c r="J24" i="15"/>
  <c r="J22" i="15"/>
  <c r="J6" i="15"/>
  <c r="L28" i="15"/>
  <c r="L27" i="15"/>
  <c r="L24" i="15"/>
  <c r="L43" i="15"/>
  <c r="L41" i="15"/>
  <c r="L42" i="15"/>
  <c r="L40" i="15"/>
  <c r="L39" i="15"/>
  <c r="L38" i="15"/>
  <c r="L37" i="15"/>
  <c r="L34" i="15"/>
  <c r="L35" i="15"/>
  <c r="L36" i="15"/>
  <c r="L33" i="15"/>
  <c r="L21" i="15"/>
  <c r="L10" i="15"/>
  <c r="L11" i="15"/>
  <c r="L12" i="15"/>
  <c r="L13" i="15"/>
  <c r="L14" i="15"/>
  <c r="L15" i="15"/>
  <c r="L16" i="15"/>
  <c r="L17" i="15"/>
  <c r="L18" i="15"/>
  <c r="L19" i="15"/>
  <c r="L20" i="15"/>
  <c r="L9" i="15"/>
  <c r="L4" i="15"/>
  <c r="L6" i="15" s="1"/>
  <c r="L3" i="15"/>
  <c r="H38" i="16"/>
  <c r="H34" i="16"/>
  <c r="H21" i="16"/>
  <c r="H20" i="16"/>
  <c r="H19" i="16"/>
  <c r="H18" i="16"/>
  <c r="H16" i="16"/>
  <c r="H14" i="16"/>
  <c r="H13" i="16"/>
  <c r="H28" i="16"/>
  <c r="H27" i="16"/>
  <c r="H3" i="16"/>
  <c r="H6" i="16" s="1"/>
  <c r="H12" i="16"/>
  <c r="D24" i="16"/>
  <c r="D15" i="16"/>
  <c r="D3" i="16"/>
  <c r="D6" i="16"/>
  <c r="D25" i="16"/>
  <c r="D13" i="16"/>
  <c r="D27" i="16"/>
  <c r="D26" i="16" s="1"/>
  <c r="D4" i="16"/>
  <c r="K38" i="21"/>
  <c r="N22" i="21"/>
  <c r="K30" i="21"/>
  <c r="J14" i="21"/>
  <c r="Z14" i="21" s="1"/>
  <c r="J18" i="21"/>
  <c r="Z18" i="21" s="1"/>
  <c r="J17" i="21"/>
  <c r="Z17" i="21" s="1"/>
  <c r="J16" i="21"/>
  <c r="Z16" i="21" s="1"/>
  <c r="J15" i="21"/>
  <c r="Z15" i="21" s="1"/>
  <c r="Y18" i="21"/>
  <c r="X18" i="21"/>
  <c r="W18" i="21"/>
  <c r="Y17" i="21"/>
  <c r="X17" i="21"/>
  <c r="W17" i="21"/>
  <c r="Y16" i="21"/>
  <c r="X16" i="21"/>
  <c r="W16" i="21"/>
  <c r="Y15" i="21"/>
  <c r="X15" i="21"/>
  <c r="W15" i="21"/>
  <c r="X14" i="21"/>
  <c r="Y14" i="21"/>
  <c r="W14" i="21"/>
  <c r="F44" i="15"/>
  <c r="F22" i="15"/>
  <c r="F24" i="15" s="1"/>
  <c r="H6" i="15"/>
  <c r="H44" i="15"/>
  <c r="H30" i="15"/>
  <c r="D161" i="20"/>
  <c r="D167" i="20" s="1"/>
  <c r="D156" i="20"/>
  <c r="D139" i="20"/>
  <c r="D122" i="20"/>
  <c r="D120" i="20"/>
  <c r="D117" i="20"/>
  <c r="D113" i="20"/>
  <c r="D110" i="20"/>
  <c r="D105" i="20"/>
  <c r="D97" i="20"/>
  <c r="D86" i="20"/>
  <c r="D73" i="20"/>
  <c r="D44" i="20"/>
  <c r="D28" i="20"/>
  <c r="D22" i="20"/>
  <c r="D26" i="20" s="1"/>
  <c r="D18" i="20"/>
  <c r="D16" i="20"/>
  <c r="D13" i="20"/>
  <c r="D8" i="20"/>
  <c r="D2" i="20"/>
  <c r="D161" i="19"/>
  <c r="D167" i="19" s="1"/>
  <c r="D156" i="19"/>
  <c r="D139" i="19"/>
  <c r="D122" i="19"/>
  <c r="D120" i="19"/>
  <c r="D117" i="19"/>
  <c r="D113" i="19"/>
  <c r="D110" i="19"/>
  <c r="D105" i="19"/>
  <c r="D97" i="19"/>
  <c r="D86" i="19"/>
  <c r="D73" i="19"/>
  <c r="D44" i="19"/>
  <c r="D28" i="19"/>
  <c r="D22" i="19"/>
  <c r="D26" i="19" s="1"/>
  <c r="D18" i="19"/>
  <c r="D16" i="19"/>
  <c r="D13" i="19"/>
  <c r="D8" i="19"/>
  <c r="D2" i="19"/>
  <c r="D161" i="18"/>
  <c r="D167" i="18" s="1"/>
  <c r="D156" i="18"/>
  <c r="D139" i="18"/>
  <c r="D122" i="18"/>
  <c r="D120" i="18"/>
  <c r="D117" i="18"/>
  <c r="D113" i="18"/>
  <c r="D110" i="18"/>
  <c r="D105" i="18"/>
  <c r="D97" i="18"/>
  <c r="D86" i="18"/>
  <c r="D73" i="18"/>
  <c r="D44" i="18"/>
  <c r="D28" i="18"/>
  <c r="D22" i="18"/>
  <c r="D18" i="18"/>
  <c r="D16" i="18"/>
  <c r="D26" i="18" s="1"/>
  <c r="D169" i="18" s="1"/>
  <c r="D13" i="18"/>
  <c r="D8" i="18"/>
  <c r="D2" i="18"/>
  <c r="D161" i="17"/>
  <c r="D167" i="17" s="1"/>
  <c r="D156" i="17"/>
  <c r="D139" i="17"/>
  <c r="D122" i="17"/>
  <c r="D120" i="17"/>
  <c r="D117" i="17"/>
  <c r="D113" i="17"/>
  <c r="D110" i="17"/>
  <c r="D105" i="17"/>
  <c r="D97" i="17"/>
  <c r="D86" i="17"/>
  <c r="D73" i="17"/>
  <c r="D44" i="17"/>
  <c r="D28" i="17"/>
  <c r="D22" i="17"/>
  <c r="D26" i="17" s="1"/>
  <c r="D18" i="17"/>
  <c r="D16" i="17"/>
  <c r="D13" i="17"/>
  <c r="D8" i="17"/>
  <c r="D2" i="17"/>
  <c r="D33" i="16"/>
  <c r="D31" i="16"/>
  <c r="D28" i="16"/>
  <c r="D21" i="16"/>
  <c r="D16" i="16"/>
  <c r="D7" i="16"/>
  <c r="F29" i="15"/>
  <c r="F30" i="15" s="1"/>
  <c r="H22" i="15"/>
  <c r="H24" i="15" s="1"/>
  <c r="E46" i="14"/>
  <c r="R8" i="14"/>
  <c r="R3" i="14"/>
  <c r="R4" i="14"/>
  <c r="R5" i="14"/>
  <c r="R6" i="14"/>
  <c r="R7" i="14"/>
  <c r="R9" i="14"/>
  <c r="R10" i="14"/>
  <c r="R11" i="14"/>
  <c r="S11" i="14" s="1"/>
  <c r="R12" i="14"/>
  <c r="R13" i="14"/>
  <c r="R14" i="14"/>
  <c r="R15" i="14"/>
  <c r="R16" i="14"/>
  <c r="R17" i="14"/>
  <c r="R18" i="14"/>
  <c r="R19" i="14"/>
  <c r="S19" i="14" s="1"/>
  <c r="R20" i="14"/>
  <c r="R21" i="14"/>
  <c r="R22" i="14"/>
  <c r="R23" i="14"/>
  <c r="R24" i="14"/>
  <c r="R25" i="14"/>
  <c r="S25" i="14" s="1"/>
  <c r="R26" i="14"/>
  <c r="R27" i="14"/>
  <c r="R28" i="14"/>
  <c r="R29" i="14"/>
  <c r="R30" i="14"/>
  <c r="R32" i="14"/>
  <c r="R33" i="14"/>
  <c r="R34" i="14"/>
  <c r="S34" i="14" s="1"/>
  <c r="R35" i="14"/>
  <c r="R36" i="14"/>
  <c r="R37" i="14"/>
  <c r="R38" i="14"/>
  <c r="R39" i="14"/>
  <c r="R40" i="14"/>
  <c r="R41" i="14"/>
  <c r="R42" i="14"/>
  <c r="S42" i="14" s="1"/>
  <c r="R43" i="14"/>
  <c r="S43" i="14" s="1"/>
  <c r="R44" i="14"/>
  <c r="R45" i="14"/>
  <c r="R46" i="14"/>
  <c r="R47" i="14"/>
  <c r="R48" i="14"/>
  <c r="R49" i="14"/>
  <c r="R50" i="14"/>
  <c r="S50" i="14" s="1"/>
  <c r="R51" i="14"/>
  <c r="R52" i="14"/>
  <c r="R53" i="14"/>
  <c r="R54" i="14"/>
  <c r="R55" i="14"/>
  <c r="R56" i="14"/>
  <c r="R2" i="14"/>
  <c r="Q57" i="14"/>
  <c r="P57" i="14"/>
  <c r="O57" i="14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7" i="14"/>
  <c r="E48" i="14"/>
  <c r="E49" i="14"/>
  <c r="E50" i="14"/>
  <c r="E51" i="14"/>
  <c r="E52" i="14"/>
  <c r="E53" i="14"/>
  <c r="E54" i="14"/>
  <c r="E55" i="14"/>
  <c r="S55" i="14" s="1"/>
  <c r="E56" i="14"/>
  <c r="E2" i="14"/>
  <c r="G38" i="11"/>
  <c r="G27" i="11"/>
  <c r="G30" i="11" s="1"/>
  <c r="G21" i="11"/>
  <c r="G20" i="11"/>
  <c r="G17" i="11"/>
  <c r="G16" i="11"/>
  <c r="G15" i="11"/>
  <c r="G14" i="11"/>
  <c r="G13" i="11"/>
  <c r="G36" i="11"/>
  <c r="G4" i="11"/>
  <c r="G18" i="11"/>
  <c r="G3" i="11"/>
  <c r="N57" i="14"/>
  <c r="M57" i="14"/>
  <c r="L57" i="14"/>
  <c r="K57" i="14"/>
  <c r="J57" i="14"/>
  <c r="I57" i="14"/>
  <c r="H57" i="14"/>
  <c r="G57" i="14"/>
  <c r="D57" i="14"/>
  <c r="F31" i="14"/>
  <c r="F57" i="14" s="1"/>
  <c r="D32" i="11"/>
  <c r="D28" i="11"/>
  <c r="D20" i="11"/>
  <c r="D18" i="11"/>
  <c r="D17" i="11" s="1"/>
  <c r="D31" i="11"/>
  <c r="D30" i="11" s="1"/>
  <c r="D26" i="11"/>
  <c r="D24" i="11"/>
  <c r="D23" i="11" s="1"/>
  <c r="H30" i="16" l="1"/>
  <c r="J48" i="15"/>
  <c r="H46" i="15"/>
  <c r="F46" i="15"/>
  <c r="L44" i="15"/>
  <c r="L30" i="15"/>
  <c r="L46" i="15" s="1"/>
  <c r="F48" i="15"/>
  <c r="H44" i="16"/>
  <c r="H46" i="16" s="1"/>
  <c r="H22" i="16"/>
  <c r="H24" i="16" s="1"/>
  <c r="D2" i="16"/>
  <c r="D10" i="16" s="1"/>
  <c r="S24" i="14"/>
  <c r="S49" i="14"/>
  <c r="D23" i="16"/>
  <c r="S41" i="14"/>
  <c r="D12" i="16"/>
  <c r="S16" i="14"/>
  <c r="S47" i="14"/>
  <c r="S33" i="14"/>
  <c r="S2" i="14"/>
  <c r="S32" i="14"/>
  <c r="S56" i="14"/>
  <c r="S48" i="14"/>
  <c r="S39" i="14"/>
  <c r="S23" i="14"/>
  <c r="S6" i="14"/>
  <c r="S52" i="14"/>
  <c r="S27" i="14"/>
  <c r="S51" i="14"/>
  <c r="S35" i="14"/>
  <c r="S29" i="14"/>
  <c r="S13" i="14"/>
  <c r="S53" i="14"/>
  <c r="S45" i="14"/>
  <c r="S37" i="14"/>
  <c r="S28" i="14"/>
  <c r="S20" i="14"/>
  <c r="S12" i="14"/>
  <c r="S3" i="14"/>
  <c r="S22" i="14"/>
  <c r="S4" i="14"/>
  <c r="S44" i="14"/>
  <c r="S36" i="14"/>
  <c r="S8" i="14"/>
  <c r="S30" i="14"/>
  <c r="S14" i="14"/>
  <c r="S5" i="14"/>
  <c r="S54" i="14"/>
  <c r="S38" i="14"/>
  <c r="S21" i="14"/>
  <c r="S17" i="14"/>
  <c r="S9" i="14"/>
  <c r="S26" i="14"/>
  <c r="S18" i="14"/>
  <c r="S10" i="14"/>
  <c r="S15" i="14"/>
  <c r="S7" i="14"/>
  <c r="Z19" i="21"/>
  <c r="AA17" i="21"/>
  <c r="AB17" i="21" s="1"/>
  <c r="AA16" i="21"/>
  <c r="AB16" i="21" s="1"/>
  <c r="AA15" i="21"/>
  <c r="AB15" i="21" s="1"/>
  <c r="AA18" i="21"/>
  <c r="AE18" i="21" s="1"/>
  <c r="AA14" i="21"/>
  <c r="L22" i="15"/>
  <c r="D169" i="20"/>
  <c r="D169" i="19"/>
  <c r="D169" i="17"/>
  <c r="S40" i="14"/>
  <c r="S46" i="14"/>
  <c r="R31" i="14"/>
  <c r="S31" i="14" s="1"/>
  <c r="E57" i="14"/>
  <c r="G44" i="11"/>
  <c r="G46" i="11" s="1"/>
  <c r="G22" i="11"/>
  <c r="G6" i="11"/>
  <c r="D37" i="16" l="1"/>
  <c r="D39" i="16" s="1"/>
  <c r="D41" i="16" s="1"/>
  <c r="L48" i="15"/>
  <c r="H48" i="16"/>
  <c r="R57" i="14"/>
  <c r="AD17" i="21"/>
  <c r="AE17" i="21"/>
  <c r="AC17" i="21"/>
  <c r="AC16" i="21"/>
  <c r="AD16" i="21"/>
  <c r="AE16" i="21"/>
  <c r="AC18" i="21"/>
  <c r="AB18" i="21"/>
  <c r="AC15" i="21"/>
  <c r="AD15" i="21"/>
  <c r="AE15" i="21"/>
  <c r="AD18" i="21"/>
  <c r="AE14" i="21"/>
  <c r="AB14" i="21"/>
  <c r="AD14" i="21"/>
  <c r="AC14" i="21"/>
  <c r="H48" i="15"/>
  <c r="S57" i="14"/>
  <c r="G24" i="11"/>
  <c r="G48" i="11" s="1"/>
  <c r="D16" i="11"/>
  <c r="D15" i="11" s="1"/>
  <c r="D37" i="11" s="1"/>
  <c r="D3" i="11"/>
  <c r="D2" i="11" s="1"/>
  <c r="D5" i="11"/>
  <c r="D10" i="11"/>
  <c r="D8" i="11"/>
  <c r="F44" i="12"/>
  <c r="H42" i="12"/>
  <c r="H41" i="12"/>
  <c r="H39" i="12"/>
  <c r="H43" i="12" s="1"/>
  <c r="G38" i="12"/>
  <c r="H37" i="12"/>
  <c r="G35" i="12"/>
  <c r="G44" i="12" s="1"/>
  <c r="H34" i="12"/>
  <c r="H33" i="12"/>
  <c r="H28" i="12"/>
  <c r="G30" i="12"/>
  <c r="H27" i="12"/>
  <c r="G22" i="12"/>
  <c r="H21" i="12"/>
  <c r="F20" i="12"/>
  <c r="H20" i="12" s="1"/>
  <c r="H19" i="12"/>
  <c r="H18" i="12"/>
  <c r="H17" i="12"/>
  <c r="H14" i="12"/>
  <c r="H13" i="12"/>
  <c r="F12" i="12"/>
  <c r="H12" i="12" s="1"/>
  <c r="H10" i="12"/>
  <c r="H9" i="12"/>
  <c r="F6" i="12"/>
  <c r="H5" i="12"/>
  <c r="H3" i="12"/>
  <c r="F30" i="12" l="1"/>
  <c r="F46" i="12" s="1"/>
  <c r="D13" i="11"/>
  <c r="D39" i="11" s="1"/>
  <c r="I20" i="12"/>
  <c r="H6" i="12"/>
  <c r="H22" i="12"/>
  <c r="I12" i="12"/>
  <c r="I14" i="12"/>
  <c r="H30" i="12"/>
  <c r="I28" i="12" s="1"/>
  <c r="I9" i="12"/>
  <c r="I10" i="12"/>
  <c r="I21" i="12"/>
  <c r="G46" i="12"/>
  <c r="F22" i="12"/>
  <c r="F24" i="12" s="1"/>
  <c r="F48" i="12" s="1"/>
  <c r="H44" i="12"/>
  <c r="I33" i="12" s="1"/>
  <c r="G6" i="12"/>
  <c r="G24" i="12" s="1"/>
  <c r="I27" i="12" l="1"/>
  <c r="I4" i="12"/>
  <c r="I6" i="12"/>
  <c r="H24" i="12"/>
  <c r="G48" i="12"/>
  <c r="I40" i="12"/>
  <c r="I35" i="12"/>
  <c r="I37" i="12"/>
  <c r="I34" i="12"/>
  <c r="I38" i="12"/>
  <c r="I44" i="12"/>
  <c r="I39" i="12"/>
  <c r="I36" i="12"/>
  <c r="I42" i="12"/>
  <c r="I19" i="12"/>
  <c r="I22" i="12"/>
  <c r="I16" i="12"/>
  <c r="I11" i="12"/>
  <c r="I18" i="12"/>
  <c r="I15" i="12"/>
  <c r="I29" i="12"/>
  <c r="H46" i="12"/>
  <c r="I30" i="12"/>
  <c r="I41" i="12"/>
  <c r="I43" i="12"/>
  <c r="I13" i="12"/>
  <c r="I5" i="12"/>
  <c r="I17" i="12"/>
  <c r="I3" i="12"/>
  <c r="H48" i="12" l="1"/>
  <c r="C20" i="10" l="1"/>
  <c r="I44" i="10"/>
  <c r="I30" i="10"/>
  <c r="I22" i="10"/>
  <c r="I6" i="10"/>
  <c r="I34" i="10"/>
  <c r="I35" i="10"/>
  <c r="I36" i="10"/>
  <c r="I37" i="10"/>
  <c r="I38" i="10"/>
  <c r="I39" i="10"/>
  <c r="I40" i="10"/>
  <c r="I41" i="10"/>
  <c r="I42" i="10"/>
  <c r="I43" i="10"/>
  <c r="I33" i="10"/>
  <c r="I28" i="10"/>
  <c r="I29" i="10"/>
  <c r="I27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9" i="10"/>
  <c r="I4" i="10"/>
  <c r="I5" i="10"/>
  <c r="I3" i="10"/>
  <c r="H41" i="10"/>
  <c r="H42" i="10" s="1"/>
  <c r="H34" i="10"/>
  <c r="H33" i="10"/>
  <c r="F44" i="10"/>
  <c r="H39" i="10"/>
  <c r="H43" i="10" s="1"/>
  <c r="G38" i="10"/>
  <c r="H37" i="10"/>
  <c r="G35" i="10"/>
  <c r="G44" i="10" s="1"/>
  <c r="H28" i="10"/>
  <c r="G27" i="10"/>
  <c r="G30" i="10" s="1"/>
  <c r="F27" i="10"/>
  <c r="F30" i="10" s="1"/>
  <c r="F46" i="10" s="1"/>
  <c r="G22" i="10"/>
  <c r="H21" i="10"/>
  <c r="H20" i="10"/>
  <c r="F20" i="10"/>
  <c r="H19" i="10"/>
  <c r="H18" i="10"/>
  <c r="F18" i="10"/>
  <c r="H17" i="10"/>
  <c r="H14" i="10"/>
  <c r="H13" i="10"/>
  <c r="F12" i="10"/>
  <c r="F22" i="10" s="1"/>
  <c r="H10" i="10"/>
  <c r="H9" i="10"/>
  <c r="H5" i="10"/>
  <c r="G4" i="10"/>
  <c r="G6" i="10" s="1"/>
  <c r="G24" i="10" s="1"/>
  <c r="F4" i="10"/>
  <c r="F6" i="10" s="1"/>
  <c r="G3" i="10"/>
  <c r="H3" i="10" s="1"/>
  <c r="H6" i="10" s="1"/>
  <c r="F3" i="10"/>
  <c r="H34" i="9"/>
  <c r="H5" i="9"/>
  <c r="G46" i="10" l="1"/>
  <c r="G48" i="10" s="1"/>
  <c r="H12" i="10"/>
  <c r="H22" i="10"/>
  <c r="H44" i="10"/>
  <c r="H24" i="10"/>
  <c r="F24" i="10"/>
  <c r="F48" i="10" s="1"/>
  <c r="H27" i="10"/>
  <c r="H30" i="10" s="1"/>
  <c r="H28" i="9"/>
  <c r="H41" i="9"/>
  <c r="H39" i="9"/>
  <c r="H37" i="9"/>
  <c r="H10" i="9"/>
  <c r="H9" i="9"/>
  <c r="H21" i="9"/>
  <c r="H19" i="9"/>
  <c r="H18" i="9"/>
  <c r="H17" i="9"/>
  <c r="H14" i="9"/>
  <c r="H13" i="9"/>
  <c r="G3" i="9"/>
  <c r="H3" i="9" s="1"/>
  <c r="G4" i="9"/>
  <c r="G38" i="9"/>
  <c r="H38" i="9" s="1"/>
  <c r="G35" i="9"/>
  <c r="F44" i="9"/>
  <c r="G27" i="9"/>
  <c r="F27" i="9"/>
  <c r="H27" i="9" s="1"/>
  <c r="F4" i="9"/>
  <c r="F18" i="9"/>
  <c r="F20" i="9"/>
  <c r="H20" i="9" s="1"/>
  <c r="F12" i="9"/>
  <c r="J26" i="2"/>
  <c r="M26" i="2" s="1"/>
  <c r="F3" i="9"/>
  <c r="L10" i="2"/>
  <c r="L38" i="2"/>
  <c r="L30" i="2"/>
  <c r="L43" i="2"/>
  <c r="L48" i="2"/>
  <c r="M46" i="2"/>
  <c r="M45" i="2"/>
  <c r="M19" i="2"/>
  <c r="M20" i="2"/>
  <c r="M21" i="2"/>
  <c r="M22" i="2"/>
  <c r="M23" i="2"/>
  <c r="M24" i="2"/>
  <c r="M25" i="2"/>
  <c r="M27" i="2"/>
  <c r="M28" i="2"/>
  <c r="M18" i="2"/>
  <c r="G32" i="8"/>
  <c r="G28" i="8"/>
  <c r="G24" i="8"/>
  <c r="D26" i="8"/>
  <c r="G11" i="8"/>
  <c r="G10" i="8"/>
  <c r="G7" i="8"/>
  <c r="G6" i="8"/>
  <c r="G9" i="8"/>
  <c r="G16" i="8"/>
  <c r="G20" i="8"/>
  <c r="G13" i="8"/>
  <c r="E88" i="2"/>
  <c r="E93" i="2"/>
  <c r="D34" i="8"/>
  <c r="D19" i="8"/>
  <c r="J20" i="2"/>
  <c r="J28" i="2"/>
  <c r="B23" i="4"/>
  <c r="B24" i="4"/>
  <c r="B22" i="4"/>
  <c r="B20" i="4"/>
  <c r="B21" i="4"/>
  <c r="B19" i="4"/>
  <c r="B15" i="4"/>
  <c r="B16" i="4"/>
  <c r="B17" i="4"/>
  <c r="B18" i="4"/>
  <c r="B14" i="4"/>
  <c r="B3" i="4"/>
  <c r="B4" i="4"/>
  <c r="B5" i="4"/>
  <c r="B6" i="4"/>
  <c r="B7" i="4"/>
  <c r="B8" i="4"/>
  <c r="B9" i="4"/>
  <c r="B10" i="4"/>
  <c r="B11" i="4"/>
  <c r="B12" i="4"/>
  <c r="B13" i="4"/>
  <c r="B2" i="4"/>
  <c r="I27" i="9" l="1"/>
  <c r="H6" i="9"/>
  <c r="I3" i="9"/>
  <c r="H42" i="9"/>
  <c r="I28" i="9"/>
  <c r="I21" i="9"/>
  <c r="H43" i="9"/>
  <c r="H44" i="9" s="1"/>
  <c r="H46" i="10"/>
  <c r="H48" i="10" s="1"/>
  <c r="F30" i="9"/>
  <c r="F46" i="9" s="1"/>
  <c r="G30" i="9"/>
  <c r="H30" i="9"/>
  <c r="G6" i="9"/>
  <c r="H22" i="9"/>
  <c r="G22" i="9"/>
  <c r="G44" i="9"/>
  <c r="F6" i="9"/>
  <c r="F22" i="9"/>
  <c r="L50" i="2"/>
  <c r="G17" i="8"/>
  <c r="G30" i="8"/>
  <c r="G25" i="8"/>
  <c r="G35" i="8"/>
  <c r="D2" i="6"/>
  <c r="D26" i="6"/>
  <c r="D169" i="6" s="1"/>
  <c r="K18" i="2"/>
  <c r="K19" i="2"/>
  <c r="K46" i="2"/>
  <c r="K45" i="2"/>
  <c r="K22" i="2"/>
  <c r="K23" i="2"/>
  <c r="K24" i="2"/>
  <c r="K25" i="2"/>
  <c r="K26" i="2"/>
  <c r="K27" i="2"/>
  <c r="K28" i="2"/>
  <c r="K21" i="2"/>
  <c r="G37" i="8" l="1"/>
  <c r="I33" i="9"/>
  <c r="I40" i="9"/>
  <c r="I36" i="9"/>
  <c r="I35" i="9"/>
  <c r="I44" i="9"/>
  <c r="I34" i="9"/>
  <c r="I39" i="9"/>
  <c r="I37" i="9"/>
  <c r="I41" i="9"/>
  <c r="I38" i="9"/>
  <c r="H24" i="9"/>
  <c r="I11" i="9"/>
  <c r="I15" i="9"/>
  <c r="I22" i="9"/>
  <c r="I16" i="9"/>
  <c r="I12" i="9"/>
  <c r="I30" i="9"/>
  <c r="I29" i="9"/>
  <c r="I14" i="9"/>
  <c r="I42" i="9"/>
  <c r="I20" i="9"/>
  <c r="I19" i="9"/>
  <c r="I17" i="9"/>
  <c r="I18" i="9"/>
  <c r="I10" i="9"/>
  <c r="I43" i="9"/>
  <c r="I13" i="9"/>
  <c r="I9" i="9"/>
  <c r="I4" i="9"/>
  <c r="I6" i="9"/>
  <c r="I5" i="9"/>
  <c r="G24" i="9"/>
  <c r="H46" i="9"/>
  <c r="G46" i="9"/>
  <c r="F24" i="9"/>
  <c r="F48" i="9" s="1"/>
  <c r="G37" i="6"/>
  <c r="G36" i="6"/>
  <c r="G32" i="6"/>
  <c r="K41" i="2" s="1"/>
  <c r="G25" i="6"/>
  <c r="K34" i="2" s="1"/>
  <c r="G16" i="6"/>
  <c r="G12" i="6"/>
  <c r="G11" i="6"/>
  <c r="G10" i="6"/>
  <c r="G8" i="6"/>
  <c r="G7" i="6"/>
  <c r="G6" i="6"/>
  <c r="G5" i="6"/>
  <c r="K40" i="2"/>
  <c r="K29" i="2"/>
  <c r="D88" i="2"/>
  <c r="E85" i="2"/>
  <c r="E84" i="2"/>
  <c r="E83" i="2"/>
  <c r="E82" i="2"/>
  <c r="E81" i="2"/>
  <c r="E80" i="2"/>
  <c r="E79" i="2"/>
  <c r="E78" i="2"/>
  <c r="E77" i="2"/>
  <c r="E76" i="2"/>
  <c r="E73" i="2"/>
  <c r="E72" i="2"/>
  <c r="E71" i="2"/>
  <c r="E70" i="2"/>
  <c r="E69" i="2"/>
  <c r="E68" i="2"/>
  <c r="E67" i="2"/>
  <c r="E66" i="2"/>
  <c r="E65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39" i="2"/>
  <c r="E40" i="2"/>
  <c r="E41" i="2"/>
  <c r="E38" i="2"/>
  <c r="E35" i="2"/>
  <c r="E34" i="2"/>
  <c r="E33" i="2"/>
  <c r="E32" i="2"/>
  <c r="E27" i="2"/>
  <c r="E28" i="2"/>
  <c r="E29" i="2"/>
  <c r="E26" i="2"/>
  <c r="E21" i="2"/>
  <c r="E22" i="2"/>
  <c r="E23" i="2"/>
  <c r="E20" i="2"/>
  <c r="E91" i="2"/>
  <c r="F93" i="2"/>
  <c r="A57" i="4"/>
  <c r="A58" i="4"/>
  <c r="A59" i="4"/>
  <c r="A56" i="4"/>
  <c r="A47" i="4"/>
  <c r="A48" i="4"/>
  <c r="A49" i="4"/>
  <c r="A50" i="4"/>
  <c r="A51" i="4"/>
  <c r="A52" i="4"/>
  <c r="A53" i="4"/>
  <c r="A54" i="4"/>
  <c r="A55" i="4"/>
  <c r="A46" i="4"/>
  <c r="A38" i="4"/>
  <c r="A39" i="4"/>
  <c r="A40" i="4"/>
  <c r="A41" i="4"/>
  <c r="A42" i="4"/>
  <c r="A43" i="4"/>
  <c r="A44" i="4"/>
  <c r="A45" i="4"/>
  <c r="A37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18" i="4"/>
  <c r="A15" i="4"/>
  <c r="A16" i="4"/>
  <c r="A17" i="4"/>
  <c r="A14" i="4"/>
  <c r="A11" i="4"/>
  <c r="A12" i="4"/>
  <c r="A13" i="4"/>
  <c r="A10" i="4"/>
  <c r="A7" i="4"/>
  <c r="A8" i="4"/>
  <c r="A9" i="4"/>
  <c r="A6" i="4"/>
  <c r="A3" i="4"/>
  <c r="A4" i="4"/>
  <c r="A5" i="4"/>
  <c r="A2" i="4"/>
  <c r="D85" i="2"/>
  <c r="D84" i="2"/>
  <c r="D83" i="2"/>
  <c r="D82" i="2"/>
  <c r="D81" i="2"/>
  <c r="D80" i="2"/>
  <c r="D79" i="2"/>
  <c r="D78" i="2"/>
  <c r="D77" i="2"/>
  <c r="D76" i="2"/>
  <c r="D73" i="2"/>
  <c r="D72" i="2"/>
  <c r="D71" i="2"/>
  <c r="D70" i="2"/>
  <c r="D69" i="2"/>
  <c r="D68" i="2"/>
  <c r="D67" i="2"/>
  <c r="D66" i="2"/>
  <c r="D65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F62" i="2" s="1"/>
  <c r="D44" i="2"/>
  <c r="D41" i="2"/>
  <c r="D40" i="2"/>
  <c r="D39" i="2"/>
  <c r="D38" i="2"/>
  <c r="D33" i="2"/>
  <c r="D34" i="2"/>
  <c r="D35" i="2"/>
  <c r="D32" i="2"/>
  <c r="D27" i="2"/>
  <c r="D28" i="2"/>
  <c r="D29" i="2"/>
  <c r="D26" i="2"/>
  <c r="D21" i="2"/>
  <c r="D22" i="2"/>
  <c r="D23" i="2"/>
  <c r="D20" i="2"/>
  <c r="E94" i="2"/>
  <c r="F94" i="2" s="1"/>
  <c r="E92" i="2"/>
  <c r="F92" i="2" s="1"/>
  <c r="J48" i="2"/>
  <c r="J43" i="2"/>
  <c r="J38" i="2"/>
  <c r="D95" i="2"/>
  <c r="D97" i="2" s="1"/>
  <c r="H48" i="9" l="1"/>
  <c r="G48" i="9"/>
  <c r="M40" i="2"/>
  <c r="M34" i="2"/>
  <c r="M41" i="2"/>
  <c r="M29" i="2"/>
  <c r="F35" i="2"/>
  <c r="F61" i="2"/>
  <c r="K30" i="2"/>
  <c r="F53" i="2"/>
  <c r="F45" i="2"/>
  <c r="F82" i="2"/>
  <c r="J30" i="2"/>
  <c r="J50" i="2" s="1"/>
  <c r="F67" i="2"/>
  <c r="G14" i="6"/>
  <c r="F59" i="2"/>
  <c r="F51" i="2"/>
  <c r="F81" i="2"/>
  <c r="F70" i="2"/>
  <c r="F34" i="2"/>
  <c r="F54" i="2"/>
  <c r="F58" i="2"/>
  <c r="F50" i="2"/>
  <c r="F47" i="2"/>
  <c r="F84" i="2"/>
  <c r="F72" i="2"/>
  <c r="F55" i="2"/>
  <c r="F46" i="2"/>
  <c r="F56" i="2"/>
  <c r="F69" i="2"/>
  <c r="F79" i="2"/>
  <c r="F48" i="2"/>
  <c r="F44" i="2"/>
  <c r="F80" i="2"/>
  <c r="F71" i="2"/>
  <c r="F83" i="2"/>
  <c r="F76" i="2"/>
  <c r="F57" i="2"/>
  <c r="F49" i="2"/>
  <c r="F33" i="2"/>
  <c r="K42" i="2" s="1"/>
  <c r="F85" i="2"/>
  <c r="F77" i="2"/>
  <c r="F78" i="2"/>
  <c r="F73" i="2"/>
  <c r="F66" i="2"/>
  <c r="F65" i="2"/>
  <c r="F68" i="2"/>
  <c r="F60" i="2"/>
  <c r="F52" i="2"/>
  <c r="F39" i="2"/>
  <c r="F40" i="2"/>
  <c r="F41" i="2"/>
  <c r="F27" i="2"/>
  <c r="K36" i="2" s="1"/>
  <c r="F29" i="2"/>
  <c r="F28" i="2"/>
  <c r="K37" i="2" s="1"/>
  <c r="F26" i="2"/>
  <c r="K35" i="2" s="1"/>
  <c r="F22" i="2"/>
  <c r="F21" i="2"/>
  <c r="F23" i="2"/>
  <c r="E86" i="2"/>
  <c r="G77" i="2" s="1"/>
  <c r="E95" i="2"/>
  <c r="E97" i="2" s="1"/>
  <c r="E63" i="2"/>
  <c r="G46" i="2" s="1"/>
  <c r="E74" i="2"/>
  <c r="G69" i="2" s="1"/>
  <c r="E36" i="2"/>
  <c r="G35" i="2" s="1"/>
  <c r="E42" i="2"/>
  <c r="G39" i="2" s="1"/>
  <c r="F91" i="2"/>
  <c r="F38" i="2"/>
  <c r="K47" i="2" s="1"/>
  <c r="F32" i="2"/>
  <c r="E30" i="2"/>
  <c r="E24" i="2"/>
  <c r="G21" i="2" s="1"/>
  <c r="F20" i="2"/>
  <c r="M35" i="2" l="1"/>
  <c r="M47" i="2"/>
  <c r="M36" i="2"/>
  <c r="M30" i="2"/>
  <c r="M42" i="2"/>
  <c r="M37" i="2"/>
  <c r="D16" i="2"/>
  <c r="G39" i="6"/>
  <c r="K43" i="2"/>
  <c r="K48" i="2"/>
  <c r="G34" i="6"/>
  <c r="G80" i="2"/>
  <c r="G76" i="2"/>
  <c r="G82" i="2"/>
  <c r="G85" i="2"/>
  <c r="G83" i="2"/>
  <c r="G78" i="2"/>
  <c r="G79" i="2"/>
  <c r="G32" i="2"/>
  <c r="G57" i="2"/>
  <c r="G58" i="2"/>
  <c r="G84" i="2"/>
  <c r="G59" i="2"/>
  <c r="G40" i="2"/>
  <c r="G41" i="2"/>
  <c r="G38" i="2"/>
  <c r="F95" i="2"/>
  <c r="G28" i="2"/>
  <c r="G29" i="2"/>
  <c r="G67" i="2"/>
  <c r="G68" i="2"/>
  <c r="G56" i="2"/>
  <c r="F86" i="2"/>
  <c r="G66" i="2"/>
  <c r="G45" i="2"/>
  <c r="G26" i="2"/>
  <c r="F74" i="2"/>
  <c r="F63" i="2"/>
  <c r="G47" i="2"/>
  <c r="G52" i="2"/>
  <c r="G61" i="2"/>
  <c r="G62" i="2"/>
  <c r="G55" i="2"/>
  <c r="F42" i="2"/>
  <c r="G71" i="2"/>
  <c r="G72" i="2"/>
  <c r="G73" i="2"/>
  <c r="G60" i="2"/>
  <c r="G34" i="2"/>
  <c r="G44" i="2"/>
  <c r="G81" i="2"/>
  <c r="F24" i="2"/>
  <c r="G48" i="2"/>
  <c r="G70" i="2"/>
  <c r="G65" i="2"/>
  <c r="G53" i="2"/>
  <c r="G54" i="2"/>
  <c r="G27" i="2"/>
  <c r="F36" i="2"/>
  <c r="G49" i="2"/>
  <c r="G50" i="2"/>
  <c r="G51" i="2"/>
  <c r="G33" i="2"/>
  <c r="G22" i="2"/>
  <c r="G20" i="2"/>
  <c r="G23" i="2"/>
  <c r="G88" i="2"/>
  <c r="F30" i="2"/>
  <c r="D15" i="2"/>
  <c r="M48" i="2" l="1"/>
  <c r="M43" i="2"/>
  <c r="K33" i="2"/>
  <c r="G29" i="6"/>
  <c r="E15" i="2"/>
  <c r="G93" i="2"/>
  <c r="G91" i="2"/>
  <c r="G94" i="2"/>
  <c r="G92" i="2"/>
  <c r="G42" i="2"/>
  <c r="G63" i="2"/>
  <c r="G36" i="2"/>
  <c r="G74" i="2"/>
  <c r="G86" i="2"/>
  <c r="G24" i="2"/>
  <c r="G30" i="2"/>
  <c r="F97" i="2"/>
  <c r="M33" i="2" l="1"/>
  <c r="F15" i="2"/>
  <c r="K38" i="2"/>
  <c r="M38" i="2" l="1"/>
  <c r="K50" i="2"/>
  <c r="N20" i="2" l="1"/>
  <c r="N28" i="2"/>
  <c r="M50" i="2"/>
  <c r="N27" i="2"/>
  <c r="N46" i="2"/>
  <c r="N21" i="2"/>
  <c r="N45" i="2"/>
  <c r="N22" i="2"/>
  <c r="N18" i="2"/>
  <c r="N23" i="2"/>
  <c r="E16" i="2"/>
  <c r="N19" i="2"/>
  <c r="N24" i="2"/>
  <c r="N25" i="2"/>
  <c r="N26" i="2"/>
  <c r="N40" i="2"/>
  <c r="N34" i="2"/>
  <c r="N29" i="2"/>
  <c r="N41" i="2"/>
  <c r="N42" i="2"/>
  <c r="N35" i="2"/>
  <c r="N36" i="2"/>
  <c r="N47" i="2"/>
  <c r="N37" i="2"/>
  <c r="N30" i="2"/>
  <c r="N48" i="2"/>
  <c r="N43" i="2"/>
  <c r="N33" i="2"/>
  <c r="N38" i="2"/>
  <c r="F16" i="2"/>
  <c r="G21" i="6"/>
  <c r="G41" i="6" s="1"/>
  <c r="G43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tc={E52F56C0-8959-4381-8F8E-6AA9FB4BEE0F}</author>
  </authors>
  <commentList>
    <comment ref="H36" authorId="0" shapeId="0" xr:uid="{E52F56C0-8959-4381-8F8E-6AA9FB4BEE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 Riva Finatti</author>
    <author>tc={3C1C22AC-ED6C-4C85-923F-F56E465623A6}</author>
  </authors>
  <commentList>
    <comment ref="E16" authorId="0" shapeId="0" xr:uid="{B5C93E2A-9564-491E-97E1-C191662FEA49}">
      <text>
        <r>
          <rPr>
            <b/>
            <sz val="9"/>
            <color indexed="81"/>
            <rFont val="Segoe UI"/>
            <family val="2"/>
          </rPr>
          <t>Rafael Riva Finatti:</t>
        </r>
        <r>
          <rPr>
            <sz val="9"/>
            <color indexed="81"/>
            <rFont val="Segoe UI"/>
            <family val="2"/>
          </rPr>
          <t xml:space="preserve">
Ana: 951,86
Helma: 1.143,62
P. Miguel: 419,93
</t>
        </r>
      </text>
    </comment>
    <comment ref="D18" authorId="0" shapeId="0" xr:uid="{F68C53EA-6AF9-4242-A608-F33A32DF320D}">
      <text>
        <r>
          <rPr>
            <b/>
            <sz val="9"/>
            <color indexed="81"/>
            <rFont val="Segoe UI"/>
            <family val="2"/>
          </rPr>
          <t>Rafael Riva Finatti:</t>
        </r>
        <r>
          <rPr>
            <sz val="9"/>
            <color indexed="81"/>
            <rFont val="Segoe UI"/>
            <family val="2"/>
          </rPr>
          <t xml:space="preserve">
RJ: R$ 1.305,06
SP: R$ 542,04
Uber: R$ 52,63</t>
        </r>
      </text>
    </comment>
    <comment ref="G36" authorId="1" shapeId="0" xr:uid="{3C1C22AC-ED6C-4C85-923F-F56E465623A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 Riva Finatti</author>
    <author>tc={A605BF25-FCCF-4FE1-82B4-DEAF528B0C08}</author>
  </authors>
  <commentList>
    <comment ref="F29" authorId="0" shapeId="0" xr:uid="{CCFB923E-6629-4865-A5FD-7957DA7D91B0}">
      <text>
        <r>
          <rPr>
            <b/>
            <sz val="9"/>
            <color indexed="81"/>
            <rFont val="Segoe UI"/>
            <family val="2"/>
          </rPr>
          <t>Rafael Riva Finatti:</t>
        </r>
        <r>
          <rPr>
            <sz val="9"/>
            <color indexed="81"/>
            <rFont val="Segoe UI"/>
            <family val="2"/>
          </rPr>
          <t xml:space="preserve">
Na transição de contas, houve um valor de R$ 949,74 que ficou sem registro na projeção orçamentária 2022-2 + 2023 que considerava um "saldo aproximado do Fundo em 30/6", por isso lançamos como saldo do Fundo de Formação.</t>
        </r>
      </text>
    </comment>
    <comment ref="F36" authorId="1" shapeId="0" xr:uid="{A605BF25-FCCF-4FE1-82B4-DEAF528B0C0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 Riva Finatti</author>
  </authors>
  <commentList>
    <comment ref="K26" authorId="0" shapeId="0" xr:uid="{54DEA8D7-4B83-4F3B-9A24-39A07FE68E58}">
      <text>
        <r>
          <rPr>
            <b/>
            <sz val="9"/>
            <color indexed="81"/>
            <rFont val="Segoe UI"/>
            <family val="2"/>
          </rPr>
          <t>Rafael Riva Finatti:</t>
        </r>
        <r>
          <rPr>
            <sz val="9"/>
            <color indexed="81"/>
            <rFont val="Segoe UI"/>
            <family val="2"/>
          </rPr>
          <t xml:space="preserve">
7 pagaram 510,5.
Rogério não pagou. 
Roberto transferiu e enviou comprovante, mas o valor não entrou na nossa conta... Percebemos em 21/12 que ele digitou um número errado na hora de fazer o TED.</t>
        </r>
      </text>
    </comment>
    <comment ref="K30" authorId="0" shapeId="0" xr:uid="{DFDAC35E-BCFC-4A97-A85F-D17C4D233CA0}">
      <text>
        <r>
          <rPr>
            <b/>
            <sz val="9"/>
            <color indexed="81"/>
            <rFont val="Segoe UI"/>
            <family val="2"/>
          </rPr>
          <t>Rafael Riva Finatti:</t>
        </r>
        <r>
          <rPr>
            <sz val="9"/>
            <color indexed="81"/>
            <rFont val="Segoe UI"/>
            <family val="2"/>
          </rPr>
          <t xml:space="preserve">
- Roberto pagou 510,5 da etapa 1 + 4.218,88 da etapa presencial. 
- Isabel transferiu 2.320,39
- Darkles transferiu 2.498,40
- Deriana transferiu 4.219,00
- Marli e regional SP transferiram 2.925,00
- Fabricio transferiu 4.218,88
- Célia transferiu 3.884,00
- Rogério e regional Sul transferiram 1.633,00
- Ana Carolina disse que só pagará em fevereiro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tc={FFAFAA21-3C44-4CA0-89A2-43DA6025B390}</author>
  </authors>
  <commentList>
    <comment ref="H36" authorId="0" shapeId="0" xr:uid="{FFAFAA21-3C44-4CA0-89A2-43DA6025B39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tc={5D59DE1F-8919-4072-B8E1-DFF6C5731F42}</author>
  </authors>
  <commentList>
    <comment ref="H36" authorId="0" shapeId="0" xr:uid="{5D59DE1F-8919-4072-B8E1-DFF6C5731F4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1) 500 dólares da etapa online (total) = 2500 reais
2) 600 dólares das etapas 2023 (presencial + online) para cada um dos 5 que pediram apoio = 15000 reais
3) 6500 reais para a organização da etapa presencial</t>
      </text>
    </comment>
  </commentList>
</comments>
</file>

<file path=xl/sharedStrings.xml><?xml version="1.0" encoding="utf-8"?>
<sst xmlns="http://schemas.openxmlformats.org/spreadsheetml/2006/main" count="2595" uniqueCount="713">
  <si>
    <t>Despesas</t>
  </si>
  <si>
    <t>Despesas Operacionais</t>
  </si>
  <si>
    <t>Orçado</t>
  </si>
  <si>
    <t>Realizado</t>
  </si>
  <si>
    <t>Receitas</t>
  </si>
  <si>
    <t>Receitas totais</t>
  </si>
  <si>
    <t>Despesas totais</t>
  </si>
  <si>
    <t>Regional Bahia</t>
  </si>
  <si>
    <t>Regional Brasília</t>
  </si>
  <si>
    <t>Regional Minas Gerais</t>
  </si>
  <si>
    <t>Regional Nordeste</t>
  </si>
  <si>
    <t>Regional Rio</t>
  </si>
  <si>
    <t>Regional São Paulo</t>
  </si>
  <si>
    <t>Regional Sul</t>
  </si>
  <si>
    <t>Outras receitas</t>
  </si>
  <si>
    <t>Doações</t>
  </si>
  <si>
    <t>Rendimentos de Aplicação Financeira</t>
  </si>
  <si>
    <t>Dia de Santo Inácio</t>
  </si>
  <si>
    <t>Venda de produtos</t>
  </si>
  <si>
    <t>Contabilidade</t>
  </si>
  <si>
    <t>Despesas bancárias</t>
  </si>
  <si>
    <t>Cartório</t>
  </si>
  <si>
    <t>Impostos e taxas</t>
  </si>
  <si>
    <t>Despesas Administrativas e Financeiras</t>
  </si>
  <si>
    <t>Reuniões Coordenação Executiva</t>
  </si>
  <si>
    <t>Reuniões Conselho Ampliado</t>
  </si>
  <si>
    <t>Anuidades e assinaturas</t>
  </si>
  <si>
    <t>Anuidade CNLB</t>
  </si>
  <si>
    <t>Anuidade CVX Mundial</t>
  </si>
  <si>
    <t>Assinatura StreamYard</t>
  </si>
  <si>
    <t>Assinatura Zoom</t>
  </si>
  <si>
    <t>Publicações (agendas formativas CNLB)</t>
  </si>
  <si>
    <t>Participações presenciais da CEN em eventos regionais</t>
  </si>
  <si>
    <t>Subsídios para a formação</t>
  </si>
  <si>
    <t>Encontro Global de Formação (ExCo)</t>
  </si>
  <si>
    <t>Magis VI (CENAL)</t>
  </si>
  <si>
    <t>Encontro Internacional das Famílias (CVX-E)</t>
  </si>
  <si>
    <t>Subsídios para a participação em retiros</t>
  </si>
  <si>
    <t>Apoio a participação em retiros de final de semana</t>
  </si>
  <si>
    <t>Apoio a participação em retiros de 8 dias</t>
  </si>
  <si>
    <t>Apoio a participação em retiros de 30 dias</t>
  </si>
  <si>
    <t>Subsídios para as obras da CVX</t>
  </si>
  <si>
    <t>Jornada Mundial das Juventudes (Companhia de Jesus)</t>
  </si>
  <si>
    <t>Acordo de cooperação com SJMR</t>
  </si>
  <si>
    <t>Repasse para as Instâncias Regionais</t>
  </si>
  <si>
    <t>Doação para obras da CVX Mundial</t>
  </si>
  <si>
    <t>Comunidade Nossa Senhora Aparecida</t>
  </si>
  <si>
    <t>Comunidade Santíssima Trindade</t>
  </si>
  <si>
    <t>Comunidade Vida e Esperança</t>
  </si>
  <si>
    <t>Comunidade Dom Luciano</t>
  </si>
  <si>
    <t>Comunidade Padre Iglesias</t>
  </si>
  <si>
    <t>Comunidade Santo Alberto Hurtado</t>
  </si>
  <si>
    <t>Comunidade São José</t>
  </si>
  <si>
    <t>Comunidade Maria</t>
  </si>
  <si>
    <t>Comunidade Santa Rafaela Maria</t>
  </si>
  <si>
    <t>Comunidade São Francisco Xavier</t>
  </si>
  <si>
    <t>Comunidade São Paulo Apóstolo</t>
  </si>
  <si>
    <t>Comunidade Fé e Vida</t>
  </si>
  <si>
    <t>Comunidade Profeta Peregrino</t>
  </si>
  <si>
    <t>Comunidade Santa Tereza Couderc</t>
  </si>
  <si>
    <t>Comunidade Santo Inácio de Loyola</t>
  </si>
  <si>
    <t>Comunidade Aprendizes do Coração de Jesus</t>
  </si>
  <si>
    <t>Comunidade Cristo Redentor</t>
  </si>
  <si>
    <t xml:space="preserve">Comunidade Dom Helder Camara </t>
  </si>
  <si>
    <t>Comunidade Fé e Vida São Francisco Xavier</t>
  </si>
  <si>
    <t>Comunidade Inácio Peregrino</t>
  </si>
  <si>
    <t>Comunidade Maria Arca da Aliança</t>
  </si>
  <si>
    <t>Comunidade Maria Mãe da Esperança</t>
  </si>
  <si>
    <t>Comunidade Maria Porta do Céu</t>
  </si>
  <si>
    <t>Comunidade Nossa Senhora da Luz</t>
  </si>
  <si>
    <t>Comunidade Nossa Senhora da Paz</t>
  </si>
  <si>
    <t>Comunidade Nossa Senhora de Fátima</t>
  </si>
  <si>
    <t>Comunidade Nossa Senhora de Nazaré</t>
  </si>
  <si>
    <t>Comunidade Peregrinos da Esperança</t>
  </si>
  <si>
    <t>Comunidade São Marcos</t>
  </si>
  <si>
    <t>Comunidade Shalom</t>
  </si>
  <si>
    <t>Comunidade Virgem Oferente</t>
  </si>
  <si>
    <t>Comunidade A Caminho</t>
  </si>
  <si>
    <t>Comunidade Cardoner</t>
  </si>
  <si>
    <t>Comunidade CVXavier</t>
  </si>
  <si>
    <t>Comunidade MCL</t>
  </si>
  <si>
    <t>Comunidade Nazaré</t>
  </si>
  <si>
    <t>Comunidade Peregrino</t>
  </si>
  <si>
    <t>Comunidade Santa Maria</t>
  </si>
  <si>
    <t>Comunidade Coração Imaculado de Maria</t>
  </si>
  <si>
    <t>Comunidade Esperança</t>
  </si>
  <si>
    <t>Comunidade Francisco</t>
  </si>
  <si>
    <t>Comunidade Nossa Senhora da Luz dos Pinhais</t>
  </si>
  <si>
    <t>Comunidade Nossa Senhora Medianeira</t>
  </si>
  <si>
    <t>Comunidade Nova Aliança</t>
  </si>
  <si>
    <t>Comunidade Santo André</t>
  </si>
  <si>
    <t>Comunidade Santo Estanislau Kostka</t>
  </si>
  <si>
    <t>Outras formações (CAP1, CAP2, etc)</t>
  </si>
  <si>
    <t>Representações institucionais (ex.: Assembleia CNLB)</t>
  </si>
  <si>
    <t>Financiamento de obras da CVX nas Regionais</t>
  </si>
  <si>
    <t>Fundo de Formação e Missão</t>
  </si>
  <si>
    <t>Data</t>
  </si>
  <si>
    <t>Valor</t>
  </si>
  <si>
    <t>Comunidade Nossa Senhora da Estrada - SP</t>
  </si>
  <si>
    <t>Comunidade Nossa Senhora da Estrada - Sul</t>
  </si>
  <si>
    <t>Comunidade Nossa Senhora de Montserrat - SP</t>
  </si>
  <si>
    <t>Comunidade Amar e Servir - RJ</t>
  </si>
  <si>
    <t>Comunidade Amar e Servir - BA</t>
  </si>
  <si>
    <t>Comunidade São José de Anchieta - RJ</t>
  </si>
  <si>
    <t>Comunidade São José de Anchieta - Sul</t>
  </si>
  <si>
    <t>Descrição Receita</t>
  </si>
  <si>
    <t>Categoria Receita</t>
  </si>
  <si>
    <t>Comunidade Nossa Senhora de Montserrat - RJ</t>
  </si>
  <si>
    <t>Categoria Despesa</t>
  </si>
  <si>
    <t>Descrição Despesa</t>
  </si>
  <si>
    <t>Planilha atualizada em:</t>
  </si>
  <si>
    <t>Ver lançamentos</t>
  </si>
  <si>
    <t>TOTAL DESPESAS</t>
  </si>
  <si>
    <t>TOTAL RECEITAS</t>
  </si>
  <si>
    <t>Mensal</t>
  </si>
  <si>
    <t>TRI1</t>
  </si>
  <si>
    <t>CONTRIBUIÇÕES/DOAÇÕES</t>
  </si>
  <si>
    <t>1.1</t>
  </si>
  <si>
    <t>Contribuições das Comunidades</t>
  </si>
  <si>
    <t>1.1.2</t>
  </si>
  <si>
    <t>(-) Repasse da nacional às Regionais</t>
  </si>
  <si>
    <t>1.2</t>
  </si>
  <si>
    <t>Recebimento do repasse nacional</t>
  </si>
  <si>
    <t>1.3</t>
  </si>
  <si>
    <t>1.4</t>
  </si>
  <si>
    <t>Contribuições Eventuais</t>
  </si>
  <si>
    <t>ASSEMBLEIA/ENCONTRO</t>
  </si>
  <si>
    <t>2.1</t>
  </si>
  <si>
    <t>Assembleia/Encontro Nacional - taxa de inscrição</t>
  </si>
  <si>
    <t>2.2</t>
  </si>
  <si>
    <t>Assembleia/Encontro Regional - taxa de inscrição</t>
  </si>
  <si>
    <t>2.3</t>
  </si>
  <si>
    <t>Patrocínios</t>
  </si>
  <si>
    <t>2.4</t>
  </si>
  <si>
    <t>Doação Ex-Co</t>
  </si>
  <si>
    <t>EVENTUAIS</t>
  </si>
  <si>
    <t>3.1</t>
  </si>
  <si>
    <t>Arrecadação em eventos</t>
  </si>
  <si>
    <t>3.2</t>
  </si>
  <si>
    <t>Publicações</t>
  </si>
  <si>
    <t>FINANCEIRO</t>
  </si>
  <si>
    <t>4.1</t>
  </si>
  <si>
    <t>Rendimentos de Aplicação financeira</t>
  </si>
  <si>
    <t>FORMAÇÃO - NACIONAL</t>
  </si>
  <si>
    <t>5.1</t>
  </si>
  <si>
    <t>Nacional - Cursos/Treinamento - taxa de inscrição</t>
  </si>
  <si>
    <t>5.2</t>
  </si>
  <si>
    <t>Nacional - Retiros - taxa de inscrição</t>
  </si>
  <si>
    <t>5.3</t>
  </si>
  <si>
    <t>Coleta Anual para Fundo de Formação</t>
  </si>
  <si>
    <t>FORMAÇÃO - REGIONAL</t>
  </si>
  <si>
    <t>6.1</t>
  </si>
  <si>
    <t>Regional - Cursos/Treinamento - taxa de inscrição</t>
  </si>
  <si>
    <t>6.2</t>
  </si>
  <si>
    <t>Retiros - taxa de inscrição</t>
  </si>
  <si>
    <t>REUNIÕES COORDENAÇÃO</t>
  </si>
  <si>
    <t>7.1</t>
  </si>
  <si>
    <t>Reuniões CEN - taxa de inscrição</t>
  </si>
  <si>
    <t>7.2</t>
  </si>
  <si>
    <t>Reuniões CEN - hospedagem</t>
  </si>
  <si>
    <t>7.3</t>
  </si>
  <si>
    <t>Reuniões CEN - transporte</t>
  </si>
  <si>
    <t>7.4</t>
  </si>
  <si>
    <t>Reuniões CEN - alimentação</t>
  </si>
  <si>
    <t>7.5</t>
  </si>
  <si>
    <t>Reuniões CEN- Gastos operacionais</t>
  </si>
  <si>
    <t>7.6</t>
  </si>
  <si>
    <t>Diárias de viagem - CEN</t>
  </si>
  <si>
    <t>7.7</t>
  </si>
  <si>
    <t>Reuniões Conselho Ampliado - taxa de inscrição</t>
  </si>
  <si>
    <t>7.8</t>
  </si>
  <si>
    <t>Reuniões Conselho Ampliado - hospedagem</t>
  </si>
  <si>
    <t>7.9</t>
  </si>
  <si>
    <t>Reuniões Conselho Ampliado - transporte</t>
  </si>
  <si>
    <t>7.10</t>
  </si>
  <si>
    <t>Reuniões Conselho Ampliado - Gastos operacionais</t>
  </si>
  <si>
    <t>7.11</t>
  </si>
  <si>
    <t>Reuniões CER - taxa de inscrição</t>
  </si>
  <si>
    <t>7.12</t>
  </si>
  <si>
    <t>Reuniões CER - transporte</t>
  </si>
  <si>
    <t>7.13</t>
  </si>
  <si>
    <t>Reuniões CER - hospedagem</t>
  </si>
  <si>
    <t>7.14</t>
  </si>
  <si>
    <t>7.15</t>
  </si>
  <si>
    <t>Reuniões CER - Gastos operacionais</t>
  </si>
  <si>
    <t>EVENTOS/VIAGENS CVX</t>
  </si>
  <si>
    <t>8.1</t>
  </si>
  <si>
    <t>Assembleia/Encontro Nacional - subsídio taxa de inscrição</t>
  </si>
  <si>
    <t>8.2</t>
  </si>
  <si>
    <t>Assembleia/Encontro Nacional - subsídio hospedagem</t>
  </si>
  <si>
    <t>8.3</t>
  </si>
  <si>
    <t>Assembleia/Encontro Nacional - subsídio transporte</t>
  </si>
  <si>
    <t>8.4</t>
  </si>
  <si>
    <t>Assembleia/Encontro Nacional - subsídio alimentação</t>
  </si>
  <si>
    <t>8.5</t>
  </si>
  <si>
    <t>Assembleia/Encontro Nacional - gastos operacionais</t>
  </si>
  <si>
    <t>8.6</t>
  </si>
  <si>
    <t>Assembleia/Encontro Regional - subsídio taxa de inscrição</t>
  </si>
  <si>
    <t>8.7</t>
  </si>
  <si>
    <t>Assembleia/Encontro Regional - subsídio hospedagem</t>
  </si>
  <si>
    <t>8.8</t>
  </si>
  <si>
    <t>Assembleia/Encontro Regional - subsídio transporte</t>
  </si>
  <si>
    <t>8.9</t>
  </si>
  <si>
    <t>Assembleia/Encontro Regional - subsídio alimentação</t>
  </si>
  <si>
    <t>8.10</t>
  </si>
  <si>
    <t>Assembleia/Encontro Regional - gastos operacionais</t>
  </si>
  <si>
    <t>8.11</t>
  </si>
  <si>
    <t>Assembleia Mundial - taxa de inscrição</t>
  </si>
  <si>
    <t>8.12</t>
  </si>
  <si>
    <t>Assembleia Mundial - transporte</t>
  </si>
  <si>
    <t>8.13</t>
  </si>
  <si>
    <t>Assembleia Mundial - hospedagem</t>
  </si>
  <si>
    <t>8.14</t>
  </si>
  <si>
    <t>Assembleia Mundial - alimentação</t>
  </si>
  <si>
    <t>8.15</t>
  </si>
  <si>
    <t>Assembleia Mundial - gastos operacionais</t>
  </si>
  <si>
    <t>8.16</t>
  </si>
  <si>
    <t>Encontros Internacionais - taxa de inscrição</t>
  </si>
  <si>
    <t>8.17</t>
  </si>
  <si>
    <t>Encontros Internacionais - transporte</t>
  </si>
  <si>
    <t>8.18</t>
  </si>
  <si>
    <t>Encontros Internacionais - hospedagem</t>
  </si>
  <si>
    <t>8.19</t>
  </si>
  <si>
    <t>Encontros Internacionais - alimentação</t>
  </si>
  <si>
    <t>8.20</t>
  </si>
  <si>
    <t>Encontros Internacionais - gastos operacionais</t>
  </si>
  <si>
    <t>8.21</t>
  </si>
  <si>
    <t>Visita às Regionais - transporte</t>
  </si>
  <si>
    <t>8.22</t>
  </si>
  <si>
    <t>Visita às Regionais - hospedagem</t>
  </si>
  <si>
    <t>8.23</t>
  </si>
  <si>
    <t>Visita às Regionais - alimentação</t>
  </si>
  <si>
    <t>8.24</t>
  </si>
  <si>
    <t>Visita às Regionais - gastos operacionais</t>
  </si>
  <si>
    <t>8.25</t>
  </si>
  <si>
    <t>Visita às Comunidades- transporte</t>
  </si>
  <si>
    <t>8.26</t>
  </si>
  <si>
    <t>Visita às Comunidades - hospedagem</t>
  </si>
  <si>
    <t>8.27</t>
  </si>
  <si>
    <t>Visita às Comunidades - alimentação</t>
  </si>
  <si>
    <t>8.28</t>
  </si>
  <si>
    <t>Visita às Comunidades - gastos operacionais</t>
  </si>
  <si>
    <t>DESPESAS DE REPRESENTAÇÃO</t>
  </si>
  <si>
    <t>9.1</t>
  </si>
  <si>
    <t>Assembleia/Encontro CNLB - subsídio taxa de inscrição</t>
  </si>
  <si>
    <t>9.2</t>
  </si>
  <si>
    <t>Assembleia/Encontro CNLB - subsídio hospedagem</t>
  </si>
  <si>
    <t>9.3</t>
  </si>
  <si>
    <t>Assembleia/Encontro CNLB - subsídio transporte</t>
  </si>
  <si>
    <t>9.4</t>
  </si>
  <si>
    <t>Assembleia/Encontro CNLB - subsídio alimentação</t>
  </si>
  <si>
    <t>9.5</t>
  </si>
  <si>
    <t>Reuniões/Encontros Eclesiais CEN - taxa de inscrição</t>
  </si>
  <si>
    <t>9.6</t>
  </si>
  <si>
    <t>Reuniões/Encontros Eclesiais CEN - transporte</t>
  </si>
  <si>
    <t>9.7</t>
  </si>
  <si>
    <t>Reuniões/Encontros Eclesiais CEN - hospedagem</t>
  </si>
  <si>
    <t>9.8</t>
  </si>
  <si>
    <t>Reuniões/Encontros Eclesiais CEN - alimentação</t>
  </si>
  <si>
    <t>9.9</t>
  </si>
  <si>
    <t>Reuniões/Encontros Eclesiais CER - taxa de inscrição</t>
  </si>
  <si>
    <t>9.10</t>
  </si>
  <si>
    <t>Reuniões/Encontros Eclesiais CER - transporte</t>
  </si>
  <si>
    <t>9.11</t>
  </si>
  <si>
    <t>Reuniões/Encontros Eclesiais CER - hospedagem</t>
  </si>
  <si>
    <t>9.12</t>
  </si>
  <si>
    <t>Reuniões/Encontros Eclesiais CER - alimentação</t>
  </si>
  <si>
    <t>DESPESAS SEDE</t>
  </si>
  <si>
    <t>10.1</t>
  </si>
  <si>
    <t>Aluguel Sede</t>
  </si>
  <si>
    <t>10.2</t>
  </si>
  <si>
    <t>Folha de pagamento</t>
  </si>
  <si>
    <t>10.3</t>
  </si>
  <si>
    <t>Encargos Sociais</t>
  </si>
  <si>
    <t>10.4</t>
  </si>
  <si>
    <t>Mensalidade Sindical</t>
  </si>
  <si>
    <t>10.5</t>
  </si>
  <si>
    <t>Vale Transporte</t>
  </si>
  <si>
    <t>10.6</t>
  </si>
  <si>
    <t>Material de escritório</t>
  </si>
  <si>
    <t>10.7</t>
  </si>
  <si>
    <t>Material de Higiene/Limpeza</t>
  </si>
  <si>
    <t>10.8</t>
  </si>
  <si>
    <t>Material de Informática</t>
  </si>
  <si>
    <t>10.9</t>
  </si>
  <si>
    <t>Telefonia</t>
  </si>
  <si>
    <t>10.10</t>
  </si>
  <si>
    <t>Despesas com Móveis e Utensílios</t>
  </si>
  <si>
    <t>OUTRAS DESPESAS ADMINISTRATIVAS</t>
  </si>
  <si>
    <t>11.1</t>
  </si>
  <si>
    <t>Cópias e Autenticações</t>
  </si>
  <si>
    <t>11.2</t>
  </si>
  <si>
    <t>Correio</t>
  </si>
  <si>
    <t>11.3</t>
  </si>
  <si>
    <t>11.4</t>
  </si>
  <si>
    <t>Contador</t>
  </si>
  <si>
    <t>11.5</t>
  </si>
  <si>
    <t>Assistência jurídica</t>
  </si>
  <si>
    <t>11.6</t>
  </si>
  <si>
    <t>Serviços prestados Pessoa Física</t>
  </si>
  <si>
    <t>11.7</t>
  </si>
  <si>
    <t>Serviços prestados Pessoa Jurídica</t>
  </si>
  <si>
    <t>ANUIDADES/ASSINATURAS</t>
  </si>
  <si>
    <t>12.1</t>
  </si>
  <si>
    <t>12.2</t>
  </si>
  <si>
    <t>Anuidade Ex-Co</t>
  </si>
  <si>
    <t>12.3</t>
  </si>
  <si>
    <t>Assinaturas serviços digitais</t>
  </si>
  <si>
    <t>12.4</t>
  </si>
  <si>
    <t>IMOBILIZADO</t>
  </si>
  <si>
    <t>13.1</t>
  </si>
  <si>
    <t>Aluguel equipamentos</t>
  </si>
  <si>
    <t>13.2</t>
  </si>
  <si>
    <t>Aquisição Equipamentos</t>
  </si>
  <si>
    <t>DESPESAS FINANCEIRAS</t>
  </si>
  <si>
    <t>14.1</t>
  </si>
  <si>
    <t>Juros</t>
  </si>
  <si>
    <t>14.2</t>
  </si>
  <si>
    <t>Multas</t>
  </si>
  <si>
    <t>14.3</t>
  </si>
  <si>
    <t>IMPOSTOS</t>
  </si>
  <si>
    <t>15.1</t>
  </si>
  <si>
    <t>Impostos/Taxas/Contribuições</t>
  </si>
  <si>
    <t>15.2</t>
  </si>
  <si>
    <t>Despesas de Seguros</t>
  </si>
  <si>
    <t>DESPESAS NÃO OPERACIONAIS</t>
  </si>
  <si>
    <t>16.1</t>
  </si>
  <si>
    <t>Patrocínios/Doações</t>
  </si>
  <si>
    <t>DESPESAS DE FORMAÇÃO - NACIONAL</t>
  </si>
  <si>
    <t>17.1</t>
  </si>
  <si>
    <t>Nacional - Cursos/Treinamento - subsídio taxa de inscrição participantes</t>
  </si>
  <si>
    <t>17.2</t>
  </si>
  <si>
    <t>Nacional - Cursos/Treinamento - subsídio hospedagem participantes</t>
  </si>
  <si>
    <t>17.3</t>
  </si>
  <si>
    <t>Nacional - Cursos/Treinamento - subsídio transporte participantes</t>
  </si>
  <si>
    <t>17.4</t>
  </si>
  <si>
    <t>Nacional - Cursos/Treinamento - gastos operacionais participantes</t>
  </si>
  <si>
    <t>17.5</t>
  </si>
  <si>
    <t>Nacional - Cursos/Treinamento - hospedagem palestrantes/assessores</t>
  </si>
  <si>
    <t>17.6</t>
  </si>
  <si>
    <t>Nacional - Cursos/Treinamento - transporte palestrantes/assessores</t>
  </si>
  <si>
    <t>17.7</t>
  </si>
  <si>
    <t>Nacional - Cursos/Treinamento - alimentação palestrantes/assessores</t>
  </si>
  <si>
    <t>17.8</t>
  </si>
  <si>
    <t>Nacional - Cursos/Treinamento - honorários palestrantes/assessores</t>
  </si>
  <si>
    <t>17.9</t>
  </si>
  <si>
    <t>Nacional - Retiros - subsídio taxa de inscrição participantes</t>
  </si>
  <si>
    <t>17.10</t>
  </si>
  <si>
    <t>Nacional - Retiros - subsídio hospedagem participantes</t>
  </si>
  <si>
    <t>17.11</t>
  </si>
  <si>
    <t>Nacional - Retiros - subsídio transporte participantes</t>
  </si>
  <si>
    <t>17.12</t>
  </si>
  <si>
    <t>Nacional - Retiros - gastos operacionais participantes</t>
  </si>
  <si>
    <t>17.13</t>
  </si>
  <si>
    <t>Nacional - Retiros - hospedagem palestrantes/assessores</t>
  </si>
  <si>
    <t>17.14</t>
  </si>
  <si>
    <t>Nacional - Retiros - transporte palestrantes/assessores</t>
  </si>
  <si>
    <t>17.15</t>
  </si>
  <si>
    <t>Nacional - Retiros - alimentação palestrantes/assessores</t>
  </si>
  <si>
    <t>17.16</t>
  </si>
  <si>
    <t>Nacional - Retiros - honorários palestrantes/assessores</t>
  </si>
  <si>
    <t>DESPESAS DE FORMAÇÃO - REGIONAL</t>
  </si>
  <si>
    <t>18.1</t>
  </si>
  <si>
    <t>Regional - Cursos/Treinamento - subsídio taxa de inscrição participantes</t>
  </si>
  <si>
    <t>18.2</t>
  </si>
  <si>
    <t>Regional - Cursos/Treinamento - subsídio hospedagem participantes</t>
  </si>
  <si>
    <t>18.3</t>
  </si>
  <si>
    <t>Regional - Cursos/Treinamento - subsídio transporte participantes</t>
  </si>
  <si>
    <t>18.4</t>
  </si>
  <si>
    <t>Regional - Cursos/Treinamento - gastos operacionais participantes</t>
  </si>
  <si>
    <t>18.5</t>
  </si>
  <si>
    <t>Regional - Cursos/Treinamento - hospedagem palestrantes/assessores</t>
  </si>
  <si>
    <t>18.6</t>
  </si>
  <si>
    <t>Regional - Cursos/Treinamento - transporte palestrantes/assessores</t>
  </si>
  <si>
    <t>18.7</t>
  </si>
  <si>
    <t>Regional - Cursos/Treinamento - alimentação palestrantes/assessores</t>
  </si>
  <si>
    <t>18.8</t>
  </si>
  <si>
    <t>Regional - Cursos/Treinamento - honorários palestrantes/assessores</t>
  </si>
  <si>
    <t>18.9</t>
  </si>
  <si>
    <t>Regional - Retiros - subsídio taxa de inscrição participantes</t>
  </si>
  <si>
    <t>18.10</t>
  </si>
  <si>
    <t>Regional - Retiros - subsídio hospedagem participantes</t>
  </si>
  <si>
    <t>18.11</t>
  </si>
  <si>
    <t>Regional - Retiros - subsídio transporte participantes</t>
  </si>
  <si>
    <t>18.12</t>
  </si>
  <si>
    <t>Regional - Retiros - gastos operacionais participantes</t>
  </si>
  <si>
    <t>18.13</t>
  </si>
  <si>
    <t>Regional - Retiros - hospedagem palestrantes/assessores</t>
  </si>
  <si>
    <t>18.14</t>
  </si>
  <si>
    <t>Regional - Retiros - transporte palestrantes/assessores</t>
  </si>
  <si>
    <t>18.15</t>
  </si>
  <si>
    <t>Regional - Retiros - alimentação palestrantes/assessores</t>
  </si>
  <si>
    <t>18.16</t>
  </si>
  <si>
    <t>Regional - Retiros - honorários palestrantes/assessores</t>
  </si>
  <si>
    <t>DESPESAS APOSTÓLICAS - NACIONAL</t>
  </si>
  <si>
    <t>19.1</t>
  </si>
  <si>
    <t>Nacional - Atividades Apostólicas - hospedagem</t>
  </si>
  <si>
    <t>19.2</t>
  </si>
  <si>
    <t>Nacional - Atividades Apostólicas - transporte</t>
  </si>
  <si>
    <t>19.3</t>
  </si>
  <si>
    <t>Nacional - Atividades Apostólicas - alimentação</t>
  </si>
  <si>
    <t>19.4</t>
  </si>
  <si>
    <t>Nacional - Atividades Apostólicas - gastos operacionais</t>
  </si>
  <si>
    <t>DESPESAS APOSTÓLICAS - REGIONAL</t>
  </si>
  <si>
    <t>20.1</t>
  </si>
  <si>
    <t>Regional - Atividades Apostólicas - hospedagem</t>
  </si>
  <si>
    <t>20.2</t>
  </si>
  <si>
    <t>Regional - Atividades Apostólicas - transporte</t>
  </si>
  <si>
    <t>20.3</t>
  </si>
  <si>
    <t>Regional - Atividades Apostólicas - alimentação</t>
  </si>
  <si>
    <t>20.4</t>
  </si>
  <si>
    <t>Regional - Atividades Apostólicas - gastos operacionais</t>
  </si>
  <si>
    <t>SALDO TRIMESTRE 1/2022</t>
  </si>
  <si>
    <t>Total contribuições comunidades</t>
  </si>
  <si>
    <t>Cartório e correios</t>
  </si>
  <si>
    <t>Planilha de acompanhamento orçamentário CVX no Brasil 2022</t>
  </si>
  <si>
    <t>Resultado</t>
  </si>
  <si>
    <t>TRI2</t>
  </si>
  <si>
    <t>Comentários</t>
  </si>
  <si>
    <t xml:space="preserve">Repasse referente ao primeiro trimestre de 2022 para todas as regionais (exceto Sul, que não recebe o repasse porque as comunidades contribuem diretamente com a regional e com a nacional). </t>
  </si>
  <si>
    <t>Rendimentos da aplicação em CDB do Bradesco.</t>
  </si>
  <si>
    <t>TOTAL</t>
  </si>
  <si>
    <t xml:space="preserve">Nossa receita (incluindo rendimentos) foi 7,76% maior neste segundo trimestre em relação ao primeiro. </t>
  </si>
  <si>
    <t>Inscrição da Gilda no EGF (ExCo), em Manresa</t>
  </si>
  <si>
    <t>Apoio às viagens da Gilda para o EGF (R$ 8.383,00) e do Alan para Assis (R$ 2.707,50)</t>
  </si>
  <si>
    <t>Hospedagens Helma e Rafael na Assembleia CNLB</t>
  </si>
  <si>
    <t>Passagens e Ubers Helma e Rafael na Assembleia CNLB</t>
  </si>
  <si>
    <t>Alimentação Rafael no retorno para Curitiba</t>
  </si>
  <si>
    <t xml:space="preserve">Pagamos 600,00 por mês com a A2. Valor era bem maior com a firma antiga. </t>
  </si>
  <si>
    <t>Anuidade ExCo</t>
  </si>
  <si>
    <t>Manutenção da hospedagem do site da CVX</t>
  </si>
  <si>
    <t xml:space="preserve">Valor diminuiu um pouco depois que eliminamos o cartão de crédito e passamos a usar a Cora. </t>
  </si>
  <si>
    <t>Valor recorrente para manutenção da PJ</t>
  </si>
  <si>
    <t>Retiros diversos financiados pela CVX Brasil</t>
  </si>
  <si>
    <t xml:space="preserve">Total de despesas foi parecido com o primeiro trimestre, variando um pouco para cima os subsídios à formação e um pouco para baixo os gastos administrativos. </t>
  </si>
  <si>
    <t>SALDO TRIMESTRE 2</t>
  </si>
  <si>
    <t>Ponto fora da curva foram os 11k do ExCo...</t>
  </si>
  <si>
    <t>Outras formações (CAP1, CAP2, EoF, etc)</t>
  </si>
  <si>
    <t>.</t>
  </si>
  <si>
    <t>Assinaturas (StreamYard, Zoom, Publicações, Site...)</t>
  </si>
  <si>
    <t>Orçado 2022</t>
  </si>
  <si>
    <t>Real TRI1</t>
  </si>
  <si>
    <t>Real TRI2</t>
  </si>
  <si>
    <t>Saldo ordinário</t>
  </si>
  <si>
    <t>Total em caixa</t>
  </si>
  <si>
    <t xml:space="preserve">Saldo Cora em 30/6: </t>
  </si>
  <si>
    <t>Bradesco em 30/6:</t>
  </si>
  <si>
    <t>Contribuições comunidades</t>
  </si>
  <si>
    <t>Fontes Ordinárias</t>
  </si>
  <si>
    <t>Orçamento 2022</t>
  </si>
  <si>
    <t>Realizado 2022-1</t>
  </si>
  <si>
    <t>Orçamento 2022-2 + 2023</t>
  </si>
  <si>
    <t>Total Receitas Ordinárias</t>
  </si>
  <si>
    <t>Total Despesas Ordinárias</t>
  </si>
  <si>
    <t>Despesas Administrativas e Financeiras (Ordinárias)</t>
  </si>
  <si>
    <t>Fontes Extraordinárias</t>
  </si>
  <si>
    <t>Rendimentos Financeiros</t>
  </si>
  <si>
    <t>Total Receitas Extraordinárias</t>
  </si>
  <si>
    <t>Despesas Fundo de Formação, Espiritualidade e Missão</t>
  </si>
  <si>
    <t>Formações internacionais (Famílias, EGF, etc)</t>
  </si>
  <si>
    <t>Encontros internacionais (EoF, JMJ, Jovens AL, etc)</t>
  </si>
  <si>
    <t>Doações para obras da CVX Mundial</t>
  </si>
  <si>
    <t>Assistência emergencial</t>
  </si>
  <si>
    <t>Financiamento de obras da CVX nas regionais</t>
  </si>
  <si>
    <t>Magis VI (subsídios + organização etapa Brasil)</t>
  </si>
  <si>
    <t>Assembleia Mundial da CVX 2023 (Amiens, FRA)</t>
  </si>
  <si>
    <t>Encontro Nacional 2023 (Salvador, Bahia)</t>
  </si>
  <si>
    <t>Apoio a retiros (fim de semana, 8 dias, 30 dias...)</t>
  </si>
  <si>
    <t>Outras destinações pertinentes à nossa missão</t>
  </si>
  <si>
    <t>Saldo aproximado do Fundo em 30/6</t>
  </si>
  <si>
    <t>Saldo em conta em 30/6</t>
  </si>
  <si>
    <t>Saldo ordinário projetado</t>
  </si>
  <si>
    <t>Saldo projetado do Fundo</t>
  </si>
  <si>
    <t>Saldo total estimado</t>
  </si>
  <si>
    <t>Aprox. 1k de auxílio para que cada comunidade envie dois representantes</t>
  </si>
  <si>
    <t>Aprox. 8k de auxílio para cada jovem enviado (4 para JMJ e 1 para Encontro de Jovens da América Latina)</t>
  </si>
  <si>
    <t>Observações</t>
  </si>
  <si>
    <t>Realizado x3</t>
  </si>
  <si>
    <t>Não teríamos mais o rendimento do CDB</t>
  </si>
  <si>
    <t xml:space="preserve">Saldo 30/6, menos o Fundo </t>
  </si>
  <si>
    <t>Considerando aumento de 10%</t>
  </si>
  <si>
    <t>Aprox. 13k para cada representante brasileiro (3)</t>
  </si>
  <si>
    <t>Margem de segurança, mas devemos praticamente zerar as despesas migrando para a Cora</t>
  </si>
  <si>
    <t>Margem de segurança, considerando algum imposto a pagar na migração</t>
  </si>
  <si>
    <t>Manutenção do orçado 2022, mesmo considerando 1,5 ano</t>
  </si>
  <si>
    <t>Realizado 2022</t>
  </si>
  <si>
    <t>Orçado x1,5</t>
  </si>
  <si>
    <t>Orçado x2</t>
  </si>
  <si>
    <t>Melhor não considerar</t>
  </si>
  <si>
    <t>Orçado x2 - realizado + aprox.4k para investir no site</t>
  </si>
  <si>
    <t>É bem provável que, por conta da Assembleia e do Magis VI, nem tenhamos formações internacionais como as deste ano</t>
  </si>
  <si>
    <t>Explicações nos comentários</t>
  </si>
  <si>
    <t>Valor simbólico</t>
  </si>
  <si>
    <t>Valor simbólico, igual ao das doações para as obras da CVX Mundial</t>
  </si>
  <si>
    <t>Valor igual ao do acordo de cooperação</t>
  </si>
  <si>
    <t>Valor é bem negativo, mesmo considerando que já temos praticamente isso em caixa, atualmente. Vale refletir sobre se devemos manter todas estas contas neste fundo (e/ou se, de tempos em tempos, o caixa ordinário não deveria também alimentar o fundo...)</t>
  </si>
  <si>
    <t xml:space="preserve">Mesmo com todos estes investimentos, ainda manteríamos o saldo positivo. Mas é possível reduzir alguns tetos de gastos e, assim, ter um saldo um pouco mais folgado. </t>
  </si>
  <si>
    <t>Aprox. 10k para cada representante brasileiro (3)</t>
  </si>
  <si>
    <t>Orçado x2 (mesmo considerando investimento no site)</t>
  </si>
  <si>
    <t>Realizado x2</t>
  </si>
  <si>
    <t>Aprox. 750 de auxílio para que cada comunidade envie dois representantes</t>
  </si>
  <si>
    <t>Aprox. 6k de auxílio para cada jovem enviado (4 para JMJ e 1 para Encontro de Jovens da América Latina)</t>
  </si>
  <si>
    <t>Aprox. realizado x3</t>
  </si>
  <si>
    <t>%</t>
  </si>
  <si>
    <t>2/3 de nossas receitas continuam sendo ordinárias, oriundas das contribuições mensais</t>
  </si>
  <si>
    <t>metade de nossas despesas continuariam sendo ordinárias</t>
  </si>
  <si>
    <t>1/3 de nossas receitas são as destinadas exclusivamente para o Fundo</t>
  </si>
  <si>
    <t>Pouco mais da metade de nossas despesas seriam com o Fundo</t>
  </si>
  <si>
    <t>pouco menos de metade de nossas despesas continuariam sendo ordinárias</t>
  </si>
  <si>
    <t>Valor é negativo, mas 40k menor do que na proposta A</t>
  </si>
  <si>
    <t xml:space="preserve">Mesmo com todos estes investimentos, ainda manteríamos um bom saldo positivo. </t>
  </si>
  <si>
    <t>Projetos de geração de renda e mitigação da pobreza</t>
  </si>
  <si>
    <t>TRI3</t>
  </si>
  <si>
    <t>Doação da CVX Espanha para o Magis VI</t>
  </si>
  <si>
    <t>DOAÇÕES EVENTUAIS</t>
  </si>
  <si>
    <t>Pagamento etapa 1 pelos participantes do Brasil</t>
  </si>
  <si>
    <t>Rendimentos de Aplicação financeira (CDB Bradesco)</t>
  </si>
  <si>
    <t>2o Trimestre/22</t>
  </si>
  <si>
    <t>Coleta Dia S. Inácio</t>
  </si>
  <si>
    <t>Jul/Ago/Set</t>
  </si>
  <si>
    <t>Último rendimento antes de encerrarmos a conta</t>
  </si>
  <si>
    <t>SALDO TRIMESTRE 3/2022</t>
  </si>
  <si>
    <t>CEN em BSB</t>
  </si>
  <si>
    <t>Banner Missa S. Inácio Bahia</t>
  </si>
  <si>
    <t>Finatti no RJ e SP</t>
  </si>
  <si>
    <t>Helma SP Rede Servir</t>
  </si>
  <si>
    <t>Retiro Regional MG</t>
  </si>
  <si>
    <t>Últimas despesas bancárias do Bradesco</t>
  </si>
  <si>
    <t>Últimos impostos CDB Bradesco</t>
  </si>
  <si>
    <t>ACVM + Fundo NE Solidário + SJMR</t>
  </si>
  <si>
    <t>Helton e Stella no CNPF</t>
  </si>
  <si>
    <t>Apoio viagens Gracinha à Fortaleza e Teresina</t>
  </si>
  <si>
    <t>Faltou pagar setembro</t>
  </si>
  <si>
    <t>Retiro Joilton (Bahia)</t>
  </si>
  <si>
    <t>Inscrição Tatiana (Sul)</t>
  </si>
  <si>
    <t>Regional</t>
  </si>
  <si>
    <t>Comunidade</t>
  </si>
  <si>
    <t>Boleto 2022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</si>
  <si>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</si>
  <si>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</si>
  <si>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</si>
  <si>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</si>
  <si>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</si>
  <si>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</si>
  <si>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</si>
  <si>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</si>
  <si>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</si>
  <si>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 xml:space="preserve">BA </t>
  </si>
  <si>
    <t xml:space="preserve">DF </t>
  </si>
  <si>
    <t>Pe. Iglesias</t>
  </si>
  <si>
    <t>MG</t>
  </si>
  <si>
    <t xml:space="preserve">NE </t>
  </si>
  <si>
    <t xml:space="preserve">RJ </t>
  </si>
  <si>
    <t>Aprendizes do C. Jesus</t>
  </si>
  <si>
    <t>S. José de Anchieta (RJ)</t>
  </si>
  <si>
    <t>Fé e Vida (RJ)</t>
  </si>
  <si>
    <t>Cristo Redentor</t>
  </si>
  <si>
    <t>Inacio Peregrino</t>
  </si>
  <si>
    <t>saída de membro</t>
  </si>
  <si>
    <t>Mª Arca da Aliança</t>
  </si>
  <si>
    <t>Mª Mãe da Esperança</t>
  </si>
  <si>
    <t>Mª Porta do Céu</t>
  </si>
  <si>
    <t>falecimento de membro e saída</t>
  </si>
  <si>
    <t>N. Sra da Luz</t>
  </si>
  <si>
    <t>N. Sra da Paz</t>
  </si>
  <si>
    <t>N. Sra de Fátima</t>
  </si>
  <si>
    <t>N. Sra de Nazaré</t>
  </si>
  <si>
    <t>N. Sra do Monte Serrat (RJ)</t>
  </si>
  <si>
    <t>diminuiu por saida de membro</t>
  </si>
  <si>
    <t>Peregrinos da Esperança</t>
  </si>
  <si>
    <t>S. Marcos</t>
  </si>
  <si>
    <t>Shalom</t>
  </si>
  <si>
    <t>a partir de junho  300 reais</t>
  </si>
  <si>
    <t>Virgem Oferente</t>
  </si>
  <si>
    <t>Amar e Servir (RJ)</t>
  </si>
  <si>
    <t>D. Hélder Câmara (RJ)</t>
  </si>
  <si>
    <t xml:space="preserve">SP </t>
  </si>
  <si>
    <t>A Caminho</t>
  </si>
  <si>
    <t>CVXavier</t>
  </si>
  <si>
    <t>MCL</t>
  </si>
  <si>
    <t>Nazaré</t>
  </si>
  <si>
    <t>N. Sra da Estrada (SP)</t>
  </si>
  <si>
    <t>N. Sra do Monte Serrat (SP)</t>
  </si>
  <si>
    <t>Peregrino</t>
  </si>
  <si>
    <t>Sta Maria</t>
  </si>
  <si>
    <t>Cardoner</t>
  </si>
  <si>
    <t>Manresa</t>
  </si>
  <si>
    <t>inicio em junho</t>
  </si>
  <si>
    <t xml:space="preserve">SUL </t>
  </si>
  <si>
    <t>S. José de Anchieta (Sul)</t>
  </si>
  <si>
    <t>Coração Imaculado de Mª</t>
  </si>
  <si>
    <t>N. Sra da Estrada (Sul)</t>
  </si>
  <si>
    <t>N. Sra Medianeira</t>
  </si>
  <si>
    <t>Nova Aliança</t>
  </si>
  <si>
    <t>Sto André</t>
  </si>
  <si>
    <t>Sto Estanislau Kostka</t>
  </si>
  <si>
    <t>Francisco</t>
  </si>
  <si>
    <t>N. S. Dos Pinhais</t>
  </si>
  <si>
    <t>Esperança</t>
  </si>
  <si>
    <t>SOMA</t>
  </si>
  <si>
    <t xml:space="preserve">54 comunidades </t>
  </si>
  <si>
    <t>Cartório, correios, papelaria e outras despesas operacionais</t>
  </si>
  <si>
    <t>Out</t>
  </si>
  <si>
    <t>Nov</t>
  </si>
  <si>
    <t>Dez</t>
  </si>
  <si>
    <t>Projetado 2022</t>
  </si>
  <si>
    <t>Proj-Real</t>
  </si>
  <si>
    <t>53 contribuindo (Virgem Oferente contribui para a Regional, esporadicamente)</t>
  </si>
  <si>
    <t>em setembro diminuiram a contribuição</t>
  </si>
  <si>
    <t>TRI3-2022</t>
  </si>
  <si>
    <t>Fundo de formação</t>
  </si>
  <si>
    <t>Saldo do Fundo em 1/7</t>
  </si>
  <si>
    <t>SALDO TRIMESTRE 4/2022</t>
  </si>
  <si>
    <t>TRI4</t>
  </si>
  <si>
    <t>TRI5</t>
  </si>
  <si>
    <t>TRI6</t>
  </si>
  <si>
    <t>TRI7</t>
  </si>
  <si>
    <t>TRI8</t>
  </si>
  <si>
    <t>Saldo (a captar)</t>
  </si>
  <si>
    <t>Saldo (a gastar)</t>
  </si>
  <si>
    <t>Amar e Servir (FSA)</t>
  </si>
  <si>
    <t>N. Sra Aparecida</t>
  </si>
  <si>
    <t>Santíssima Trindade</t>
  </si>
  <si>
    <t>Vida e Esperança (SSA)</t>
  </si>
  <si>
    <t>D. Luciano</t>
  </si>
  <si>
    <t>S. José</t>
  </si>
  <si>
    <t>Sto Alberto Hurtado</t>
  </si>
  <si>
    <t>Maria</t>
  </si>
  <si>
    <t>Sta Rafaela Mª</t>
  </si>
  <si>
    <t>S. Francisco Xavier</t>
  </si>
  <si>
    <t>S. Paulo Apóstolo</t>
  </si>
  <si>
    <t>Fé e Vida</t>
  </si>
  <si>
    <t>Profeta Peregrino</t>
  </si>
  <si>
    <t>Sta Tereza Couderc</t>
  </si>
  <si>
    <t>Sto Inácio de Loyola</t>
  </si>
  <si>
    <t>Reuniões Conselho Nacional</t>
  </si>
  <si>
    <t xml:space="preserve">Os inscritos da CVX que solicitaram financiamento e a divisão de custos (%) ficou assim: </t>
  </si>
  <si>
    <t>1 - Isabel (RJ): 50/0/10/40</t>
  </si>
  <si>
    <t>2 - Célia (Sul): 60/15/8/17</t>
  </si>
  <si>
    <t>3 - Darkles (Sul): 30/5/7/58</t>
  </si>
  <si>
    <t>4 - Marli (SP): 27/10/23/40</t>
  </si>
  <si>
    <t>5 - Rogério (Sul): 24/9/7/60</t>
  </si>
  <si>
    <t>Isabel</t>
  </si>
  <si>
    <t>Célia</t>
  </si>
  <si>
    <t>Darkles</t>
  </si>
  <si>
    <t xml:space="preserve">Marli </t>
  </si>
  <si>
    <t>Rogério</t>
  </si>
  <si>
    <t>P</t>
  </si>
  <si>
    <t>R</t>
  </si>
  <si>
    <t>N</t>
  </si>
  <si>
    <r>
      <t xml:space="preserve">Considerando, nesta ordem: </t>
    </r>
    <r>
      <rPr>
        <sz val="12"/>
        <color rgb="FFFF0000"/>
        <rFont val="Calibri"/>
        <family val="2"/>
      </rPr>
      <t>pessoa</t>
    </r>
    <r>
      <rPr>
        <sz val="12"/>
        <color rgb="FF000000"/>
        <rFont val="Calibri"/>
      </rPr>
      <t>/</t>
    </r>
    <r>
      <rPr>
        <sz val="12"/>
        <color theme="4"/>
        <rFont val="Calibri"/>
        <family val="2"/>
      </rPr>
      <t>comunidade local</t>
    </r>
    <r>
      <rPr>
        <sz val="12"/>
        <color rgb="FF000000"/>
        <rFont val="Calibri"/>
      </rPr>
      <t>/</t>
    </r>
    <r>
      <rPr>
        <sz val="12"/>
        <color theme="5"/>
        <rFont val="Calibri"/>
        <family val="2"/>
      </rPr>
      <t>regional</t>
    </r>
    <r>
      <rPr>
        <sz val="12"/>
        <color rgb="FF000000"/>
        <rFont val="Calibri"/>
      </rPr>
      <t>/</t>
    </r>
    <r>
      <rPr>
        <sz val="12"/>
        <color theme="9"/>
        <rFont val="Calibri"/>
        <family val="2"/>
      </rPr>
      <t>nacional</t>
    </r>
    <r>
      <rPr>
        <sz val="12"/>
        <color rgb="FF000000"/>
        <rFont val="Calibri"/>
      </rPr>
      <t>.</t>
    </r>
  </si>
  <si>
    <t>CL</t>
  </si>
  <si>
    <t>Eclesiologia (150)</t>
  </si>
  <si>
    <t>Espiritualidade leiga (150)</t>
  </si>
  <si>
    <t>Encerramento (800)</t>
  </si>
  <si>
    <t>Divisão dos custos</t>
  </si>
  <si>
    <t>Ana Carolina Lobatto (Pará): 100/0/0/0**</t>
  </si>
  <si>
    <t>Roberto (RJ): 100/0/0/0**</t>
  </si>
  <si>
    <t>Deriana: 100/0/0/0**</t>
  </si>
  <si>
    <t>Fabrício: 100/0/0/0**</t>
  </si>
  <si>
    <t xml:space="preserve">Os demais membros do "time Brasil" desembolsarão de seus bolsos 100% dos custos. </t>
  </si>
  <si>
    <t>Acumulado</t>
  </si>
  <si>
    <t>Total Magis VI</t>
  </si>
  <si>
    <t>Receita/Despesa</t>
  </si>
  <si>
    <t>Movimentações no caixa da CVX Brasil</t>
  </si>
  <si>
    <t>50/0/10/40</t>
  </si>
  <si>
    <t>60/15/8/17</t>
  </si>
  <si>
    <t>30/5/7/58</t>
  </si>
  <si>
    <t>27/10/23/40</t>
  </si>
  <si>
    <t>24/9/7/60</t>
  </si>
  <si>
    <t>Adiantamento gastos Magis VI</t>
  </si>
  <si>
    <t>Fase preparatória (510,5)</t>
  </si>
  <si>
    <t>100 dólares</t>
  </si>
  <si>
    <t>800 ou 150 dólares</t>
  </si>
  <si>
    <t>150 dólares</t>
  </si>
  <si>
    <t>Cristologia (4.218,88)</t>
  </si>
  <si>
    <t>Total por aporte</t>
  </si>
  <si>
    <t>Pagamento sinal da casa</t>
  </si>
  <si>
    <t>Adiantamento casa (01/02)</t>
  </si>
  <si>
    <t>Adiantamento casa (02/02)</t>
  </si>
  <si>
    <t>Pagamento casa</t>
  </si>
  <si>
    <t>TRI4-2022</t>
  </si>
  <si>
    <t>Pagamento etapa 2 pelos participantes do Brasil</t>
  </si>
  <si>
    <t>Reembolso a partir da venda dos dólares</t>
  </si>
  <si>
    <t>Pontos de atenção:</t>
  </si>
  <si>
    <t>reais é o gasto que a CVX Brasil tinha previsto desembolsar com os participantes do Brasil nas duas primeiras etapas.</t>
  </si>
  <si>
    <t xml:space="preserve">Ou seja: as movimentações ao lado devem chegar a um saldo negativo de pelo menos este valor. </t>
  </si>
  <si>
    <t xml:space="preserve">(Pelo menos, porque havíamos previsto contribuir com algo para o Magis VI). </t>
  </si>
  <si>
    <t>ID</t>
  </si>
  <si>
    <t>Coroa de flores Odilon</t>
  </si>
  <si>
    <t>3º Trimestre</t>
  </si>
  <si>
    <t>José Augusto</t>
  </si>
  <si>
    <t>Passagem Riechi para a Colômbia</t>
  </si>
  <si>
    <t>Sinal Casa do Magis VI</t>
  </si>
  <si>
    <t>Digital Sign + Zoom</t>
  </si>
  <si>
    <t>14ª Reunião de Dirigentes de Movimentos, Associações e Serviços Eclesiais</t>
  </si>
  <si>
    <t>Out/Nov/Dez</t>
  </si>
  <si>
    <t>Novo site CVX</t>
  </si>
  <si>
    <t>IOF pagamento Zoom</t>
  </si>
  <si>
    <t>Reunião CEN em Brasília</t>
  </si>
  <si>
    <t>Passagens Conselho Ampliado</t>
  </si>
  <si>
    <t>Caixinha Magis VI</t>
  </si>
  <si>
    <t>Pagamentos brasileiros Magis VI</t>
  </si>
  <si>
    <t>Doação Ailton Villa</t>
  </si>
  <si>
    <t>Retiro Marcelo Costa</t>
  </si>
  <si>
    <t>Adiantamento alimentação Magis VI</t>
  </si>
  <si>
    <t>Retiro Helma</t>
  </si>
  <si>
    <t>Contabilidade out/nov/dez/13º</t>
  </si>
  <si>
    <t>Contabilidade outubro atrasada</t>
  </si>
  <si>
    <t>Saldo 31-12</t>
  </si>
  <si>
    <t xml:space="preserve">Saldo Cora em 31/12: </t>
  </si>
  <si>
    <t xml:space="preserve">Saldo total </t>
  </si>
  <si>
    <t>em agosto, uniu-se à CVX Peregrino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</si>
</sst>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&quot;R$&quot;\ #,##0.00"/>
    <numFmt numFmtId="165" formatCode="_-[$R$-416]\ * #,##0.00_-;\-[$R$-416]\ * #,##0.00_-;_-[$R$-416]\ * &quot;-&quot;??_-;_-@_-"/>
    <numFmt numFmtId="166" formatCode="0.0%"/>
    <numFmt numFmtId="167" formatCode="#,##0.00_ ;[Red]\-#,##0.00\ "/>
  </numFmts>
  <fonts count="77" x14ac:knownFonts="1">
    <font>
      <sz val="12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</font>
    <font>
      <b/>
      <sz val="21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8"/>
      <name val="Calibri"/>
      <family val="2"/>
    </font>
    <font>
      <sz val="10.5"/>
      <color rgb="FF000000"/>
      <name val="Calibri"/>
      <family val="2"/>
    </font>
    <font>
      <sz val="10.5"/>
      <color rgb="FFFFFFFF"/>
      <name val="Calibri"/>
      <family val="2"/>
    </font>
    <font>
      <b/>
      <sz val="10.5"/>
      <color rgb="FF000000"/>
      <name val="Calibri"/>
      <family val="2"/>
    </font>
    <font>
      <sz val="10.5"/>
      <name val="Calibri"/>
      <family val="2"/>
    </font>
    <font>
      <b/>
      <sz val="10.5"/>
      <color rgb="FFFFFFFF"/>
      <name val="Calibri"/>
      <family val="2"/>
    </font>
    <font>
      <b/>
      <sz val="10.5"/>
      <color rgb="FFC00000"/>
      <name val="Calibri"/>
      <family val="2"/>
    </font>
    <font>
      <sz val="12"/>
      <color rgb="FF000000"/>
      <name val="Calibri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b/>
      <sz val="10"/>
      <name val="Calibri"/>
      <family val="2"/>
    </font>
    <font>
      <b/>
      <sz val="10"/>
      <color rgb="FF7030A0"/>
      <name val="Calibri"/>
      <family val="2"/>
    </font>
    <font>
      <sz val="10"/>
      <color rgb="FF7030A0"/>
      <name val="Calibri"/>
      <family val="2"/>
    </font>
    <font>
      <u/>
      <sz val="12"/>
      <color theme="10"/>
      <name val="Calibri"/>
      <family val="2"/>
    </font>
    <font>
      <u/>
      <sz val="10"/>
      <color theme="0"/>
      <name val="Calibri"/>
      <family val="2"/>
    </font>
    <font>
      <sz val="8"/>
      <color rgb="FF000000"/>
      <name val="Calibri"/>
      <family val="2"/>
    </font>
    <font>
      <sz val="8"/>
      <color theme="2" tint="-0.499984740745262"/>
      <name val="Calibri"/>
      <family val="2"/>
    </font>
    <font>
      <b/>
      <sz val="8"/>
      <color rgb="FFFFFFFF"/>
      <name val="Calibri"/>
      <family val="2"/>
    </font>
    <font>
      <sz val="8"/>
      <color theme="8" tint="0.59999389629810485"/>
      <name val="Calibri"/>
      <family val="2"/>
    </font>
    <font>
      <sz val="12"/>
      <color theme="4"/>
      <name val="Calibri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</font>
    <font>
      <b/>
      <sz val="11"/>
      <color theme="0"/>
      <name val="Calibri"/>
      <family val="2"/>
    </font>
    <font>
      <b/>
      <sz val="8"/>
      <color theme="4" tint="-0.249977111117893"/>
      <name val="Calibri"/>
      <family val="2"/>
    </font>
    <font>
      <b/>
      <sz val="8"/>
      <name val="Calibri"/>
      <family val="2"/>
    </font>
    <font>
      <b/>
      <sz val="8"/>
      <color rgb="FF760000"/>
      <name val="Calibri"/>
      <family val="2"/>
    </font>
    <font>
      <sz val="8"/>
      <color theme="0" tint="-0.249977111117893"/>
      <name val="Calibri"/>
      <family val="2"/>
    </font>
    <font>
      <sz val="12"/>
      <color rgb="FF760000"/>
      <name val="Calibri"/>
      <family val="2"/>
    </font>
    <font>
      <sz val="10"/>
      <color rgb="FF000000"/>
      <name val="Calibri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2" tint="-0.499984740745262"/>
      <name val="Calibri"/>
      <family val="2"/>
    </font>
    <font>
      <b/>
      <sz val="12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theme="4" tint="-0.249977111117893"/>
      <name val="Calibri"/>
      <family val="2"/>
    </font>
    <font>
      <b/>
      <sz val="11"/>
      <color rgb="FF760000"/>
      <name val="Calibri"/>
      <family val="2"/>
    </font>
    <font>
      <b/>
      <sz val="11"/>
      <color theme="9" tint="-0.499984740745262"/>
      <name val="Calibri"/>
      <family val="2"/>
    </font>
    <font>
      <b/>
      <sz val="11"/>
      <color theme="5" tint="-0.499984740745262"/>
      <name val="Calibri"/>
      <family val="2"/>
    </font>
    <font>
      <b/>
      <sz val="11"/>
      <color rgb="FFFF0000"/>
      <name val="Calibri"/>
      <family val="2"/>
    </font>
    <font>
      <b/>
      <sz val="11"/>
      <color theme="4"/>
      <name val="Calibri"/>
      <family val="2"/>
    </font>
    <font>
      <b/>
      <sz val="12"/>
      <color theme="1" tint="0.499984740745262"/>
      <name val="Calibri"/>
      <family val="2"/>
    </font>
    <font>
      <b/>
      <sz val="8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70C0"/>
      <name val="Arial"/>
      <family val="2"/>
    </font>
    <font>
      <b/>
      <sz val="12"/>
      <color theme="0"/>
      <name val="Calibri"/>
      <family val="2"/>
      <scheme val="minor"/>
    </font>
    <font>
      <sz val="8"/>
      <color theme="1"/>
      <name val="Arial"/>
      <family val="2"/>
    </font>
    <font>
      <b/>
      <sz val="11"/>
      <color theme="1" tint="0.499984740745262"/>
      <name val="Calibri"/>
      <family val="2"/>
    </font>
    <font>
      <sz val="12"/>
      <name val="Calibri"/>
      <family val="2"/>
    </font>
    <font>
      <b/>
      <sz val="11"/>
      <color rgb="FFC00000"/>
      <name val="Calibri"/>
      <family val="2"/>
    </font>
    <font>
      <sz val="11"/>
      <color theme="6" tint="-0.249977111117893"/>
      <name val="Calibri"/>
      <family val="2"/>
      <scheme val="minor"/>
    </font>
    <font>
      <sz val="9"/>
      <color theme="6" tint="-0.249977111117893"/>
      <name val="Arial"/>
      <family val="2"/>
    </font>
    <font>
      <sz val="12"/>
      <color rgb="FFFF0000"/>
      <name val="Calibri"/>
      <family val="2"/>
    </font>
    <font>
      <sz val="12"/>
      <color theme="5"/>
      <name val="Calibri"/>
      <family val="2"/>
    </font>
    <font>
      <sz val="12"/>
      <color theme="9"/>
      <name val="Calibri"/>
      <family val="2"/>
    </font>
    <font>
      <sz val="10"/>
      <name val="Calibri"/>
      <family val="2"/>
    </font>
    <font>
      <sz val="11"/>
      <color theme="0" tint="-0.34998626667073579"/>
      <name val="Calibri"/>
      <family val="2"/>
    </font>
    <font>
      <sz val="11"/>
      <color rgb="FFC00000"/>
      <name val="Calibri"/>
      <family val="2"/>
    </font>
    <font>
      <sz val="11"/>
      <color rgb="FF0070C0"/>
      <name val="Calibri"/>
      <family val="2"/>
    </font>
    <font>
      <sz val="9"/>
      <color theme="4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rgb="FF4A86E8"/>
        <bgColor rgb="FF4A86E8"/>
      </patternFill>
    </fill>
    <fill>
      <patternFill patternType="solid">
        <fgColor rgb="FFFFFFFF"/>
        <bgColor rgb="FFFFFFFF"/>
      </patternFill>
    </fill>
    <fill>
      <patternFill patternType="solid">
        <fgColor rgb="FFEEECE1"/>
        <bgColor rgb="FFEEECE1"/>
      </patternFill>
    </fill>
    <fill>
      <patternFill patternType="solid">
        <fgColor rgb="FF1F497D"/>
        <bgColor rgb="FF1F497D"/>
      </patternFill>
    </fill>
    <fill>
      <patternFill patternType="solid">
        <fgColor rgb="FFDBE5F1"/>
        <bgColor rgb="FFDBE5F1"/>
      </patternFill>
    </fill>
    <fill>
      <patternFill patternType="solid">
        <fgColor rgb="FF548DD4"/>
        <bgColor rgb="FF548DD4"/>
      </patternFill>
    </fill>
    <fill>
      <patternFill patternType="solid">
        <fgColor rgb="FFC0504D"/>
        <bgColor rgb="FFC0504D"/>
      </patternFill>
    </fill>
    <fill>
      <patternFill patternType="solid">
        <fgColor rgb="FFF2DBDB"/>
        <bgColor rgb="FFF2DBDB"/>
      </patternFill>
    </fill>
    <fill>
      <patternFill patternType="solid">
        <fgColor rgb="FFE5B8B7"/>
        <bgColor rgb="FFE5B8B7"/>
      </patternFill>
    </fill>
    <fill>
      <patternFill patternType="solid">
        <fgColor rgb="FFF2DCDB"/>
        <bgColor rgb="FFF2DCDB"/>
      </patternFill>
    </fill>
    <fill>
      <patternFill patternType="solid">
        <fgColor rgb="FFD99594"/>
        <bgColor rgb="FFD99594"/>
      </patternFill>
    </fill>
    <fill>
      <patternFill patternType="solid">
        <fgColor theme="6" tint="-0.249977111117893"/>
        <bgColor rgb="FF4A86E8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E6B8B7"/>
      </patternFill>
    </fill>
    <fill>
      <patternFill patternType="solid">
        <fgColor theme="0"/>
        <bgColor rgb="FFFFFFFF"/>
      </patternFill>
    </fill>
    <fill>
      <patternFill patternType="solid">
        <fgColor rgb="FF760000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/>
        <bgColor rgb="FF4A86E8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1F497D"/>
      </patternFill>
    </fill>
    <fill>
      <patternFill patternType="solid">
        <fgColor theme="0"/>
        <bgColor rgb="FFDBE5F1"/>
      </patternFill>
    </fill>
    <fill>
      <patternFill patternType="solid">
        <fgColor rgb="FF00B0F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1F1DA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7B4AE"/>
        <bgColor rgb="FF000000"/>
      </patternFill>
    </fill>
    <fill>
      <patternFill patternType="solid">
        <fgColor rgb="FFF2DBD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8" tint="0.79998168889431442"/>
        <bgColor rgb="FFDBE5F1"/>
      </patternFill>
    </fill>
    <fill>
      <patternFill patternType="solid">
        <fgColor theme="8" tint="0.79998168889431442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DBDB"/>
        <bgColor rgb="FFFFFFFF"/>
      </patternFill>
    </fill>
    <fill>
      <patternFill patternType="solid">
        <fgColor theme="8" tint="0.59999389629810485"/>
        <bgColor rgb="FFDBE5F1"/>
      </patternFill>
    </fill>
    <fill>
      <patternFill patternType="solid">
        <fgColor theme="8" tint="0.59999389629810485"/>
        <bgColor rgb="FFFFFFFF"/>
      </patternFill>
    </fill>
    <fill>
      <patternFill patternType="solid">
        <fgColor rgb="FFE5B5B5"/>
        <bgColor rgb="FFF2DBDB"/>
      </patternFill>
    </fill>
    <fill>
      <patternFill patternType="solid">
        <fgColor rgb="FFE5B5B5"/>
        <bgColor rgb="FFFFFFFF"/>
      </patternFill>
    </fill>
    <fill>
      <patternFill patternType="solid">
        <fgColor theme="9" tint="0.79998168889431442"/>
        <bgColor rgb="FFDBE5F1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rgb="FFDBE5F1"/>
      </patternFill>
    </fill>
    <fill>
      <patternFill patternType="solid">
        <fgColor theme="9" tint="0.39997558519241921"/>
        <bgColor rgb="FFFFFFFF"/>
      </patternFill>
    </fill>
    <fill>
      <patternFill patternType="solid">
        <fgColor theme="5" tint="0.79998168889431442"/>
        <bgColor rgb="FFF2DBDB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rgb="FFF2DBDB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0" tint="-0.14999847407452621"/>
        <bgColor rgb="FFDBE5F1"/>
      </patternFill>
    </fill>
    <fill>
      <patternFill patternType="solid">
        <fgColor rgb="FFFFFF00"/>
        <bgColor rgb="FFDBE5F1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5B5B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7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B9B9"/>
      </left>
      <right style="thin">
        <color rgb="FFFFB9B9"/>
      </right>
      <top style="thin">
        <color rgb="FFFFB9B9"/>
      </top>
      <bottom style="thin">
        <color rgb="FFFFB9B9"/>
      </bottom>
      <diagonal/>
    </border>
    <border>
      <left/>
      <right style="thin">
        <color rgb="FFFFB9B9"/>
      </right>
      <top/>
      <bottom style="thin">
        <color rgb="FFFFB9B9"/>
      </bottom>
      <diagonal/>
    </border>
    <border>
      <left style="thin">
        <color rgb="FFFFB9B9"/>
      </left>
      <right style="thin">
        <color rgb="FFFFB9B9"/>
      </right>
      <top/>
      <bottom style="thin">
        <color rgb="FFFFB9B9"/>
      </bottom>
      <diagonal/>
    </border>
    <border>
      <left style="thin">
        <color rgb="FFFFB9B9"/>
      </left>
      <right/>
      <top/>
      <bottom style="thin">
        <color rgb="FFFFB9B9"/>
      </bottom>
      <diagonal/>
    </border>
    <border>
      <left/>
      <right style="thin">
        <color rgb="FFFFB9B9"/>
      </right>
      <top style="thin">
        <color rgb="FFFFB9B9"/>
      </top>
      <bottom style="thin">
        <color rgb="FFFFB9B9"/>
      </bottom>
      <diagonal/>
    </border>
    <border>
      <left style="thin">
        <color rgb="FFFFB9B9"/>
      </left>
      <right/>
      <top style="thin">
        <color rgb="FFFFB9B9"/>
      </top>
      <bottom style="thin">
        <color rgb="FFFFB9B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rgb="FF969696"/>
      </left>
      <right style="thin">
        <color indexed="64"/>
      </right>
      <top style="hair">
        <color rgb="FF969696"/>
      </top>
      <bottom style="hair">
        <color rgb="FF969696"/>
      </bottom>
      <diagonal/>
    </border>
    <border>
      <left style="thin">
        <color theme="0"/>
      </left>
      <right/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9" fontId="1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44" fontId="15" fillId="0" borderId="0" applyFont="0" applyFill="0" applyBorder="0" applyAlignment="0" applyProtection="0"/>
    <xf numFmtId="0" fontId="36" fillId="0" borderId="4"/>
    <xf numFmtId="44" fontId="38" fillId="0" borderId="4" applyFont="0" applyFill="0" applyBorder="0" applyAlignment="0" applyProtection="0"/>
    <xf numFmtId="9" fontId="36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9" fontId="15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</cellStyleXfs>
  <cellXfs count="543">
    <xf numFmtId="0" fontId="0" fillId="0" borderId="0" xfId="0"/>
    <xf numFmtId="0" fontId="0" fillId="3" borderId="1" xfId="0" applyFill="1" applyBorder="1"/>
    <xf numFmtId="0" fontId="5" fillId="3" borderId="1" xfId="0" applyFont="1" applyFill="1" applyBorder="1"/>
    <xf numFmtId="0" fontId="5" fillId="0" borderId="0" xfId="0" applyFont="1"/>
    <xf numFmtId="0" fontId="6" fillId="3" borderId="1" xfId="0" applyFont="1" applyFill="1" applyBorder="1" applyAlignment="1">
      <alignment horizontal="center" vertical="center" textRotation="255"/>
    </xf>
    <xf numFmtId="0" fontId="0" fillId="14" borderId="0" xfId="0" applyFill="1"/>
    <xf numFmtId="0" fontId="5" fillId="14" borderId="0" xfId="0" applyFont="1" applyFill="1"/>
    <xf numFmtId="0" fontId="0" fillId="3" borderId="4" xfId="0" applyFill="1" applyBorder="1"/>
    <xf numFmtId="0" fontId="9" fillId="3" borderId="1" xfId="0" applyFont="1" applyFill="1" applyBorder="1"/>
    <xf numFmtId="0" fontId="10" fillId="13" borderId="5" xfId="0" applyFont="1" applyFill="1" applyBorder="1" applyAlignment="1">
      <alignment horizontal="center" vertical="top"/>
    </xf>
    <xf numFmtId="0" fontId="9" fillId="0" borderId="0" xfId="0" applyFont="1"/>
    <xf numFmtId="0" fontId="9" fillId="0" borderId="0" xfId="0" applyFont="1" applyAlignment="1">
      <alignment horizontal="right"/>
    </xf>
    <xf numFmtId="164" fontId="9" fillId="4" borderId="5" xfId="0" applyNumberFormat="1" applyFont="1" applyFill="1" applyBorder="1"/>
    <xf numFmtId="0" fontId="11" fillId="9" borderId="9" xfId="0" applyFont="1" applyFill="1" applyBorder="1"/>
    <xf numFmtId="0" fontId="9" fillId="9" borderId="4" xfId="0" applyFont="1" applyFill="1" applyBorder="1"/>
    <xf numFmtId="0" fontId="9" fillId="9" borderId="10" xfId="0" applyFont="1" applyFill="1" applyBorder="1"/>
    <xf numFmtId="0" fontId="9" fillId="9" borderId="9" xfId="0" applyFont="1" applyFill="1" applyBorder="1"/>
    <xf numFmtId="165" fontId="9" fillId="3" borderId="3" xfId="0" applyNumberFormat="1" applyFont="1" applyFill="1" applyBorder="1"/>
    <xf numFmtId="165" fontId="9" fillId="9" borderId="10" xfId="0" applyNumberFormat="1" applyFont="1" applyFill="1" applyBorder="1"/>
    <xf numFmtId="0" fontId="11" fillId="6" borderId="9" xfId="0" applyFont="1" applyFill="1" applyBorder="1"/>
    <xf numFmtId="0" fontId="9" fillId="6" borderId="4" xfId="0" applyFont="1" applyFill="1" applyBorder="1"/>
    <xf numFmtId="0" fontId="9" fillId="6" borderId="10" xfId="0" applyFont="1" applyFill="1" applyBorder="1"/>
    <xf numFmtId="0" fontId="9" fillId="6" borderId="9" xfId="0" applyFont="1" applyFill="1" applyBorder="1"/>
    <xf numFmtId="165" fontId="9" fillId="6" borderId="10" xfId="0" applyNumberFormat="1" applyFont="1" applyFill="1" applyBorder="1"/>
    <xf numFmtId="0" fontId="10" fillId="0" borderId="0" xfId="0" applyFont="1" applyAlignment="1">
      <alignment horizontal="left" vertical="top"/>
    </xf>
    <xf numFmtId="165" fontId="9" fillId="15" borderId="4" xfId="0" applyNumberFormat="1" applyFont="1" applyFill="1" applyBorder="1" applyAlignment="1">
      <alignment horizontal="center"/>
    </xf>
    <xf numFmtId="165" fontId="9" fillId="6" borderId="4" xfId="0" applyNumberFormat="1" applyFont="1" applyFill="1" applyBorder="1"/>
    <xf numFmtId="165" fontId="9" fillId="9" borderId="4" xfId="0" applyNumberFormat="1" applyFont="1" applyFill="1" applyBorder="1"/>
    <xf numFmtId="0" fontId="12" fillId="3" borderId="0" xfId="0" applyFont="1" applyFill="1"/>
    <xf numFmtId="165" fontId="9" fillId="10" borderId="4" xfId="0" applyNumberFormat="1" applyFont="1" applyFill="1" applyBorder="1"/>
    <xf numFmtId="165" fontId="9" fillId="11" borderId="4" xfId="0" applyNumberFormat="1" applyFont="1" applyFill="1" applyBorder="1"/>
    <xf numFmtId="0" fontId="11" fillId="3" borderId="1" xfId="0" applyFont="1" applyFill="1" applyBorder="1" applyAlignment="1">
      <alignment horizontal="center" vertical="center" textRotation="255"/>
    </xf>
    <xf numFmtId="165" fontId="11" fillId="12" borderId="12" xfId="0" applyNumberFormat="1" applyFont="1" applyFill="1" applyBorder="1"/>
    <xf numFmtId="165" fontId="9" fillId="9" borderId="13" xfId="0" applyNumberFormat="1" applyFont="1" applyFill="1" applyBorder="1"/>
    <xf numFmtId="165" fontId="13" fillId="7" borderId="12" xfId="0" applyNumberFormat="1" applyFont="1" applyFill="1" applyBorder="1"/>
    <xf numFmtId="165" fontId="9" fillId="6" borderId="13" xfId="0" applyNumberFormat="1" applyFont="1" applyFill="1" applyBorder="1"/>
    <xf numFmtId="0" fontId="12" fillId="0" borderId="4" xfId="0" applyFont="1" applyBorder="1"/>
    <xf numFmtId="0" fontId="9" fillId="14" borderId="0" xfId="0" applyFont="1" applyFill="1"/>
    <xf numFmtId="0" fontId="5" fillId="16" borderId="1" xfId="0" applyFont="1" applyFill="1" applyBorder="1"/>
    <xf numFmtId="0" fontId="14" fillId="9" borderId="9" xfId="0" applyFont="1" applyFill="1" applyBorder="1"/>
    <xf numFmtId="0" fontId="0" fillId="0" borderId="0" xfId="0" applyAlignment="1">
      <alignment horizontal="center"/>
    </xf>
    <xf numFmtId="0" fontId="0" fillId="17" borderId="15" xfId="0" applyFill="1" applyBorder="1" applyAlignment="1">
      <alignment horizontal="center"/>
    </xf>
    <xf numFmtId="0" fontId="16" fillId="17" borderId="16" xfId="0" applyFont="1" applyFill="1" applyBorder="1" applyAlignment="1">
      <alignment horizontal="center"/>
    </xf>
    <xf numFmtId="0" fontId="0" fillId="17" borderId="17" xfId="0" applyFill="1" applyBorder="1" applyAlignment="1">
      <alignment horizontal="center"/>
    </xf>
    <xf numFmtId="0" fontId="17" fillId="18" borderId="14" xfId="0" applyFont="1" applyFill="1" applyBorder="1"/>
    <xf numFmtId="0" fontId="17" fillId="18" borderId="19" xfId="0" applyFont="1" applyFill="1" applyBorder="1"/>
    <xf numFmtId="0" fontId="17" fillId="0" borderId="14" xfId="0" applyFont="1" applyBorder="1"/>
    <xf numFmtId="0" fontId="17" fillId="0" borderId="19" xfId="0" applyFont="1" applyBorder="1"/>
    <xf numFmtId="165" fontId="17" fillId="18" borderId="19" xfId="0" applyNumberFormat="1" applyFont="1" applyFill="1" applyBorder="1"/>
    <xf numFmtId="165" fontId="17" fillId="0" borderId="19" xfId="0" applyNumberFormat="1" applyFont="1" applyBorder="1"/>
    <xf numFmtId="14" fontId="17" fillId="18" borderId="18" xfId="0" applyNumberFormat="1" applyFont="1" applyFill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7" fillId="18" borderId="18" xfId="0" applyFont="1" applyFill="1" applyBorder="1" applyAlignment="1">
      <alignment horizontal="center"/>
    </xf>
    <xf numFmtId="0" fontId="17" fillId="0" borderId="0" xfId="0" applyFont="1"/>
    <xf numFmtId="165" fontId="17" fillId="0" borderId="0" xfId="1" applyNumberFormat="1" applyFont="1" applyAlignment="1"/>
    <xf numFmtId="0" fontId="20" fillId="3" borderId="26" xfId="0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13" fillId="5" borderId="6" xfId="0" applyFont="1" applyFill="1" applyBorder="1" applyAlignment="1">
      <alignment horizontal="left" vertical="top"/>
    </xf>
    <xf numFmtId="0" fontId="13" fillId="8" borderId="6" xfId="0" applyFont="1" applyFill="1" applyBorder="1" applyAlignment="1">
      <alignment horizontal="left" vertical="top"/>
    </xf>
    <xf numFmtId="0" fontId="13" fillId="7" borderId="11" xfId="0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horizontal="center" vertical="center"/>
    </xf>
    <xf numFmtId="14" fontId="18" fillId="19" borderId="25" xfId="0" applyNumberFormat="1" applyFont="1" applyFill="1" applyBorder="1" applyAlignment="1" applyProtection="1">
      <alignment horizontal="center" vertical="center"/>
      <protection locked="0"/>
    </xf>
    <xf numFmtId="9" fontId="23" fillId="3" borderId="1" xfId="1" applyFont="1" applyFill="1" applyBorder="1"/>
    <xf numFmtId="0" fontId="10" fillId="20" borderId="4" xfId="0" applyFont="1" applyFill="1" applyBorder="1" applyAlignment="1">
      <alignment horizontal="center" vertical="top"/>
    </xf>
    <xf numFmtId="164" fontId="9" fillId="21" borderId="4" xfId="0" applyNumberFormat="1" applyFont="1" applyFill="1" applyBorder="1"/>
    <xf numFmtId="0" fontId="9" fillId="16" borderId="4" xfId="0" applyFont="1" applyFill="1" applyBorder="1"/>
    <xf numFmtId="0" fontId="22" fillId="22" borderId="4" xfId="2" applyFont="1" applyFill="1" applyBorder="1" applyAlignment="1">
      <alignment horizontal="center" vertical="top"/>
    </xf>
    <xf numFmtId="165" fontId="9" fillId="23" borderId="4" xfId="0" applyNumberFormat="1" applyFont="1" applyFill="1" applyBorder="1"/>
    <xf numFmtId="0" fontId="3" fillId="3" borderId="4" xfId="0" applyFont="1" applyFill="1" applyBorder="1" applyAlignment="1">
      <alignment horizontal="right"/>
    </xf>
    <xf numFmtId="9" fontId="24" fillId="3" borderId="4" xfId="1" applyFont="1" applyFill="1" applyBorder="1" applyAlignment="1">
      <alignment horizontal="center"/>
    </xf>
    <xf numFmtId="0" fontId="22" fillId="8" borderId="7" xfId="2" applyFont="1" applyFill="1" applyBorder="1" applyAlignment="1">
      <alignment horizontal="center" vertical="top"/>
    </xf>
    <xf numFmtId="0" fontId="9" fillId="3" borderId="4" xfId="0" applyFont="1" applyFill="1" applyBorder="1"/>
    <xf numFmtId="0" fontId="11" fillId="6" borderId="4" xfId="0" applyFont="1" applyFill="1" applyBorder="1"/>
    <xf numFmtId="0" fontId="13" fillId="7" borderId="12" xfId="0" applyFont="1" applyFill="1" applyBorder="1" applyAlignment="1">
      <alignment horizontal="center" vertical="center"/>
    </xf>
    <xf numFmtId="0" fontId="25" fillId="5" borderId="7" xfId="0" applyFont="1" applyFill="1" applyBorder="1" applyAlignment="1">
      <alignment horizontal="center" vertical="center"/>
    </xf>
    <xf numFmtId="0" fontId="23" fillId="6" borderId="4" xfId="0" applyFont="1" applyFill="1" applyBorder="1" applyAlignment="1">
      <alignment horizontal="center"/>
    </xf>
    <xf numFmtId="0" fontId="26" fillId="6" borderId="4" xfId="0" applyFont="1" applyFill="1" applyBorder="1" applyAlignment="1">
      <alignment horizontal="center" vertical="center"/>
    </xf>
    <xf numFmtId="0" fontId="27" fillId="0" borderId="0" xfId="0" applyFont="1"/>
    <xf numFmtId="0" fontId="28" fillId="24" borderId="4" xfId="0" applyFont="1" applyFill="1" applyBorder="1"/>
    <xf numFmtId="0" fontId="28" fillId="0" borderId="4" xfId="0" applyFont="1" applyBorder="1"/>
    <xf numFmtId="0" fontId="6" fillId="25" borderId="28" xfId="0" applyFont="1" applyFill="1" applyBorder="1" applyAlignment="1">
      <alignment horizontal="left"/>
    </xf>
    <xf numFmtId="0" fontId="6" fillId="25" borderId="29" xfId="0" applyFont="1" applyFill="1" applyBorder="1"/>
    <xf numFmtId="44" fontId="6" fillId="25" borderId="30" xfId="3" applyFont="1" applyFill="1" applyBorder="1"/>
    <xf numFmtId="0" fontId="5" fillId="0" borderId="31" xfId="0" applyFont="1" applyBorder="1" applyAlignment="1">
      <alignment horizontal="left"/>
    </xf>
    <xf numFmtId="0" fontId="5" fillId="0" borderId="5" xfId="0" applyFont="1" applyBorder="1" applyAlignment="1">
      <alignment vertical="center"/>
    </xf>
    <xf numFmtId="44" fontId="5" fillId="0" borderId="32" xfId="3" applyFont="1" applyFill="1" applyBorder="1"/>
    <xf numFmtId="0" fontId="29" fillId="0" borderId="5" xfId="0" applyFont="1" applyBorder="1" applyAlignment="1">
      <alignment vertical="center"/>
    </xf>
    <xf numFmtId="0" fontId="6" fillId="25" borderId="31" xfId="0" applyFont="1" applyFill="1" applyBorder="1" applyAlignment="1">
      <alignment horizontal="left"/>
    </xf>
    <xf numFmtId="0" fontId="6" fillId="25" borderId="5" xfId="0" applyFont="1" applyFill="1" applyBorder="1"/>
    <xf numFmtId="44" fontId="6" fillId="25" borderId="32" xfId="3" applyFont="1" applyFill="1" applyBorder="1"/>
    <xf numFmtId="0" fontId="5" fillId="0" borderId="5" xfId="0" applyFont="1" applyBorder="1"/>
    <xf numFmtId="0" fontId="5" fillId="0" borderId="33" xfId="0" applyFont="1" applyBorder="1" applyAlignment="1">
      <alignment horizontal="left"/>
    </xf>
    <xf numFmtId="0" fontId="5" fillId="0" borderId="34" xfId="0" applyFont="1" applyBorder="1" applyAlignment="1">
      <alignment vertical="center"/>
    </xf>
    <xf numFmtId="44" fontId="5" fillId="0" borderId="35" xfId="3" applyFont="1" applyFill="1" applyBorder="1"/>
    <xf numFmtId="0" fontId="5" fillId="0" borderId="4" xfId="0" applyFont="1" applyBorder="1" applyAlignment="1">
      <alignment horizontal="left"/>
    </xf>
    <xf numFmtId="0" fontId="5" fillId="0" borderId="4" xfId="0" applyFont="1" applyBorder="1"/>
    <xf numFmtId="44" fontId="5" fillId="0" borderId="4" xfId="3" applyFont="1" applyFill="1" applyBorder="1"/>
    <xf numFmtId="0" fontId="6" fillId="26" borderId="36" xfId="0" applyFont="1" applyFill="1" applyBorder="1" applyAlignment="1">
      <alignment horizontal="center"/>
    </xf>
    <xf numFmtId="44" fontId="6" fillId="26" borderId="37" xfId="3" applyFont="1" applyFill="1" applyBorder="1" applyAlignment="1">
      <alignment horizontal="center"/>
    </xf>
    <xf numFmtId="0" fontId="6" fillId="25" borderId="28" xfId="0" applyFont="1" applyFill="1" applyBorder="1" applyAlignment="1">
      <alignment horizontal="left" vertical="top"/>
    </xf>
    <xf numFmtId="0" fontId="5" fillId="0" borderId="31" xfId="0" applyFont="1" applyBorder="1" applyAlignment="1">
      <alignment horizontal="left" vertical="top"/>
    </xf>
    <xf numFmtId="0" fontId="6" fillId="25" borderId="31" xfId="0" applyFont="1" applyFill="1" applyBorder="1" applyAlignment="1">
      <alignment horizontal="left" vertical="top"/>
    </xf>
    <xf numFmtId="0" fontId="5" fillId="27" borderId="5" xfId="0" applyFont="1" applyFill="1" applyBorder="1"/>
    <xf numFmtId="0" fontId="5" fillId="27" borderId="31" xfId="0" applyFont="1" applyFill="1" applyBorder="1" applyAlignment="1">
      <alignment horizontal="left" vertical="top"/>
    </xf>
    <xf numFmtId="0" fontId="5" fillId="0" borderId="33" xfId="0" applyFont="1" applyBorder="1" applyAlignment="1">
      <alignment horizontal="left" vertical="top"/>
    </xf>
    <xf numFmtId="0" fontId="5" fillId="0" borderId="34" xfId="0" applyFont="1" applyBorder="1"/>
    <xf numFmtId="0" fontId="5" fillId="0" borderId="4" xfId="0" applyFont="1" applyBorder="1" applyAlignment="1">
      <alignment horizontal="left" vertical="top"/>
    </xf>
    <xf numFmtId="0" fontId="6" fillId="28" borderId="36" xfId="0" applyFont="1" applyFill="1" applyBorder="1" applyAlignment="1">
      <alignment horizontal="center"/>
    </xf>
    <xf numFmtId="44" fontId="6" fillId="28" borderId="37" xfId="3" applyFont="1" applyFill="1" applyBorder="1" applyAlignment="1">
      <alignment horizontal="center"/>
    </xf>
    <xf numFmtId="0" fontId="30" fillId="24" borderId="36" xfId="0" applyFont="1" applyFill="1" applyBorder="1" applyAlignment="1">
      <alignment horizontal="center"/>
    </xf>
    <xf numFmtId="44" fontId="30" fillId="24" borderId="37" xfId="3" applyFont="1" applyFill="1" applyBorder="1" applyAlignment="1">
      <alignment horizontal="center"/>
    </xf>
    <xf numFmtId="165" fontId="11" fillId="6" borderId="4" xfId="0" applyNumberFormat="1" applyFont="1" applyFill="1" applyBorder="1"/>
    <xf numFmtId="166" fontId="9" fillId="23" borderId="4" xfId="1" applyNumberFormat="1" applyFont="1" applyFill="1" applyBorder="1"/>
    <xf numFmtId="166" fontId="24" fillId="3" borderId="4" xfId="1" applyNumberFormat="1" applyFont="1" applyFill="1" applyBorder="1" applyAlignment="1">
      <alignment horizontal="center"/>
    </xf>
    <xf numFmtId="166" fontId="31" fillId="3" borderId="4" xfId="1" applyNumberFormat="1" applyFont="1" applyFill="1" applyBorder="1" applyAlignment="1">
      <alignment horizontal="center"/>
    </xf>
    <xf numFmtId="166" fontId="32" fillId="3" borderId="4" xfId="1" applyNumberFormat="1" applyFont="1" applyFill="1" applyBorder="1" applyAlignment="1">
      <alignment horizontal="center"/>
    </xf>
    <xf numFmtId="165" fontId="5" fillId="14" borderId="0" xfId="0" applyNumberFormat="1" applyFont="1" applyFill="1"/>
    <xf numFmtId="44" fontId="0" fillId="0" borderId="0" xfId="0" applyNumberFormat="1"/>
    <xf numFmtId="166" fontId="3" fillId="3" borderId="4" xfId="1" applyNumberFormat="1" applyFont="1" applyFill="1" applyBorder="1" applyAlignment="1">
      <alignment horizontal="right"/>
    </xf>
    <xf numFmtId="166" fontId="33" fillId="3" borderId="4" xfId="1" applyNumberFormat="1" applyFont="1" applyFill="1" applyBorder="1" applyAlignment="1">
      <alignment horizontal="center"/>
    </xf>
    <xf numFmtId="164" fontId="20" fillId="16" borderId="27" xfId="0" applyNumberFormat="1" applyFont="1" applyFill="1" applyBorder="1" applyAlignment="1" applyProtection="1">
      <alignment horizontal="center" vertical="center"/>
      <protection locked="0"/>
    </xf>
    <xf numFmtId="44" fontId="34" fillId="3" borderId="4" xfId="0" applyNumberFormat="1" applyFont="1" applyFill="1" applyBorder="1" applyAlignment="1">
      <alignment horizontal="right"/>
    </xf>
    <xf numFmtId="44" fontId="5" fillId="0" borderId="0" xfId="0" applyNumberFormat="1" applyFont="1"/>
    <xf numFmtId="0" fontId="35" fillId="0" borderId="0" xfId="0" applyFont="1"/>
    <xf numFmtId="0" fontId="22" fillId="8" borderId="8" xfId="2" applyFont="1" applyFill="1" applyBorder="1" applyAlignment="1">
      <alignment horizontal="center" vertical="top"/>
    </xf>
    <xf numFmtId="0" fontId="36" fillId="30" borderId="4" xfId="4" applyFill="1"/>
    <xf numFmtId="0" fontId="36" fillId="0" borderId="4" xfId="4"/>
    <xf numFmtId="0" fontId="37" fillId="0" borderId="4" xfId="4" applyFont="1"/>
    <xf numFmtId="0" fontId="6" fillId="25" borderId="28" xfId="4" applyFont="1" applyFill="1" applyBorder="1" applyAlignment="1">
      <alignment horizontal="left"/>
    </xf>
    <xf numFmtId="0" fontId="6" fillId="25" borderId="29" xfId="4" applyFont="1" applyFill="1" applyBorder="1"/>
    <xf numFmtId="44" fontId="6" fillId="25" borderId="30" xfId="5" applyFont="1" applyFill="1" applyBorder="1"/>
    <xf numFmtId="0" fontId="5" fillId="0" borderId="31" xfId="4" applyFont="1" applyBorder="1" applyAlignment="1">
      <alignment horizontal="left"/>
    </xf>
    <xf numFmtId="0" fontId="5" fillId="0" borderId="5" xfId="4" applyFont="1" applyBorder="1" applyAlignment="1">
      <alignment vertical="center"/>
    </xf>
    <xf numFmtId="44" fontId="5" fillId="0" borderId="32" xfId="5" applyFont="1" applyFill="1" applyBorder="1"/>
    <xf numFmtId="0" fontId="39" fillId="0" borderId="4" xfId="4" applyFont="1"/>
    <xf numFmtId="0" fontId="38" fillId="0" borderId="4" xfId="4" applyFont="1"/>
    <xf numFmtId="0" fontId="29" fillId="0" borderId="5" xfId="4" applyFont="1" applyBorder="1" applyAlignment="1">
      <alignment vertical="center"/>
    </xf>
    <xf numFmtId="0" fontId="6" fillId="25" borderId="31" xfId="4" applyFont="1" applyFill="1" applyBorder="1" applyAlignment="1">
      <alignment horizontal="left"/>
    </xf>
    <xf numFmtId="0" fontId="6" fillId="25" borderId="5" xfId="4" applyFont="1" applyFill="1" applyBorder="1"/>
    <xf numFmtId="44" fontId="6" fillId="25" borderId="32" xfId="5" applyFont="1" applyFill="1" applyBorder="1"/>
    <xf numFmtId="0" fontId="5" fillId="0" borderId="5" xfId="4" applyFont="1" applyBorder="1"/>
    <xf numFmtId="0" fontId="5" fillId="0" borderId="4" xfId="4" applyFont="1" applyAlignment="1">
      <alignment horizontal="left"/>
    </xf>
    <xf numFmtId="0" fontId="5" fillId="0" borderId="4" xfId="4" applyFont="1"/>
    <xf numFmtId="44" fontId="5" fillId="0" borderId="4" xfId="5" applyFont="1" applyFill="1" applyBorder="1"/>
    <xf numFmtId="0" fontId="6" fillId="31" borderId="36" xfId="4" applyFont="1" applyFill="1" applyBorder="1" applyAlignment="1">
      <alignment horizontal="center"/>
    </xf>
    <xf numFmtId="44" fontId="6" fillId="31" borderId="37" xfId="5" applyFont="1" applyFill="1" applyBorder="1" applyAlignment="1">
      <alignment horizontal="center"/>
    </xf>
    <xf numFmtId="44" fontId="38" fillId="0" borderId="4" xfId="4" applyNumberFormat="1" applyFont="1"/>
    <xf numFmtId="0" fontId="5" fillId="0" borderId="31" xfId="4" applyFont="1" applyBorder="1" applyAlignment="1">
      <alignment horizontal="left" vertical="top"/>
    </xf>
    <xf numFmtId="0" fontId="6" fillId="25" borderId="31" xfId="4" applyFont="1" applyFill="1" applyBorder="1" applyAlignment="1">
      <alignment horizontal="left" vertical="top"/>
    </xf>
    <xf numFmtId="0" fontId="5" fillId="27" borderId="5" xfId="4" applyFont="1" applyFill="1" applyBorder="1"/>
    <xf numFmtId="0" fontId="5" fillId="0" borderId="4" xfId="4" applyFont="1" applyAlignment="1">
      <alignment horizontal="left" vertical="top"/>
    </xf>
    <xf numFmtId="0" fontId="6" fillId="32" borderId="36" xfId="4" applyFont="1" applyFill="1" applyBorder="1" applyAlignment="1">
      <alignment horizontal="center"/>
    </xf>
    <xf numFmtId="44" fontId="6" fillId="32" borderId="37" xfId="5" applyFont="1" applyFill="1" applyBorder="1" applyAlignment="1">
      <alignment horizontal="center"/>
    </xf>
    <xf numFmtId="0" fontId="30" fillId="24" borderId="36" xfId="4" applyFont="1" applyFill="1" applyBorder="1" applyAlignment="1">
      <alignment horizontal="center"/>
    </xf>
    <xf numFmtId="44" fontId="30" fillId="24" borderId="37" xfId="5" applyFont="1" applyFill="1" applyBorder="1" applyAlignment="1">
      <alignment horizontal="center"/>
    </xf>
    <xf numFmtId="0" fontId="40" fillId="0" borderId="4" xfId="4" applyFont="1"/>
    <xf numFmtId="165" fontId="9" fillId="3" borderId="39" xfId="0" applyNumberFormat="1" applyFont="1" applyFill="1" applyBorder="1"/>
    <xf numFmtId="165" fontId="9" fillId="10" borderId="10" xfId="0" applyNumberFormat="1" applyFont="1" applyFill="1" applyBorder="1"/>
    <xf numFmtId="165" fontId="9" fillId="11" borderId="10" xfId="0" applyNumberFormat="1" applyFont="1" applyFill="1" applyBorder="1"/>
    <xf numFmtId="165" fontId="11" fillId="12" borderId="13" xfId="0" applyNumberFormat="1" applyFont="1" applyFill="1" applyBorder="1"/>
    <xf numFmtId="0" fontId="14" fillId="9" borderId="4" xfId="0" applyFont="1" applyFill="1" applyBorder="1"/>
    <xf numFmtId="0" fontId="11" fillId="9" borderId="4" xfId="0" applyFont="1" applyFill="1" applyBorder="1" applyAlignment="1">
      <alignment horizontal="center"/>
    </xf>
    <xf numFmtId="0" fontId="13" fillId="13" borderId="1" xfId="0" applyFont="1" applyFill="1" applyBorder="1" applyAlignment="1">
      <alignment horizontal="center" vertical="top"/>
    </xf>
    <xf numFmtId="0" fontId="14" fillId="9" borderId="10" xfId="0" applyFont="1" applyFill="1" applyBorder="1"/>
    <xf numFmtId="165" fontId="17" fillId="3" borderId="3" xfId="0" applyNumberFormat="1" applyFont="1" applyFill="1" applyBorder="1"/>
    <xf numFmtId="166" fontId="41" fillId="3" borderId="4" xfId="1" applyNumberFormat="1" applyFont="1" applyFill="1" applyBorder="1" applyAlignment="1">
      <alignment horizontal="center"/>
    </xf>
    <xf numFmtId="165" fontId="17" fillId="33" borderId="3" xfId="0" applyNumberFormat="1" applyFont="1" applyFill="1" applyBorder="1"/>
    <xf numFmtId="165" fontId="9" fillId="33" borderId="3" xfId="0" applyNumberFormat="1" applyFont="1" applyFill="1" applyBorder="1"/>
    <xf numFmtId="0" fontId="20" fillId="3" borderId="40" xfId="0" applyFont="1" applyFill="1" applyBorder="1" applyAlignment="1">
      <alignment vertical="center"/>
    </xf>
    <xf numFmtId="0" fontId="20" fillId="3" borderId="38" xfId="0" applyFont="1" applyFill="1" applyBorder="1" applyAlignment="1">
      <alignment vertical="center"/>
    </xf>
    <xf numFmtId="164" fontId="20" fillId="3" borderId="41" xfId="0" applyNumberFormat="1" applyFont="1" applyFill="1" applyBorder="1" applyAlignment="1">
      <alignment horizontal="center" vertical="center"/>
    </xf>
    <xf numFmtId="0" fontId="19" fillId="3" borderId="26" xfId="0" applyFont="1" applyFill="1" applyBorder="1" applyAlignment="1">
      <alignment vertical="center"/>
    </xf>
    <xf numFmtId="0" fontId="19" fillId="3" borderId="4" xfId="0" applyFont="1" applyFill="1" applyBorder="1" applyAlignment="1">
      <alignment vertical="center"/>
    </xf>
    <xf numFmtId="164" fontId="19" fillId="16" borderId="2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42" fillId="0" borderId="42" xfId="0" applyFont="1" applyBorder="1" applyAlignment="1">
      <alignment horizontal="right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7" xfId="0" applyBorder="1" applyAlignment="1">
      <alignment vertical="center"/>
    </xf>
    <xf numFmtId="0" fontId="6" fillId="34" borderId="42" xfId="0" applyFont="1" applyFill="1" applyBorder="1" applyAlignment="1">
      <alignment vertical="center"/>
    </xf>
    <xf numFmtId="0" fontId="6" fillId="34" borderId="51" xfId="0" applyFont="1" applyFill="1" applyBorder="1" applyAlignment="1">
      <alignment horizontal="center" vertical="center"/>
    </xf>
    <xf numFmtId="0" fontId="6" fillId="34" borderId="43" xfId="0" applyFont="1" applyFill="1" applyBorder="1" applyAlignment="1">
      <alignment horizontal="center" vertical="center"/>
    </xf>
    <xf numFmtId="0" fontId="5" fillId="34" borderId="44" xfId="0" applyFont="1" applyFill="1" applyBorder="1" applyAlignment="1">
      <alignment vertical="center"/>
    </xf>
    <xf numFmtId="165" fontId="5" fillId="35" borderId="4" xfId="0" applyNumberFormat="1" applyFont="1" applyFill="1" applyBorder="1" applyAlignment="1">
      <alignment vertical="center"/>
    </xf>
    <xf numFmtId="0" fontId="5" fillId="34" borderId="48" xfId="0" applyFont="1" applyFill="1" applyBorder="1" applyAlignment="1">
      <alignment vertical="center"/>
    </xf>
    <xf numFmtId="165" fontId="5" fillId="35" borderId="38" xfId="0" applyNumberFormat="1" applyFont="1" applyFill="1" applyBorder="1" applyAlignment="1">
      <alignment vertical="center"/>
    </xf>
    <xf numFmtId="0" fontId="44" fillId="38" borderId="46" xfId="0" applyFont="1" applyFill="1" applyBorder="1" applyAlignment="1">
      <alignment vertical="center"/>
    </xf>
    <xf numFmtId="165" fontId="44" fillId="39" borderId="5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9" borderId="42" xfId="0" applyFont="1" applyFill="1" applyBorder="1" applyAlignment="1">
      <alignment vertical="center"/>
    </xf>
    <xf numFmtId="0" fontId="6" fillId="9" borderId="51" xfId="0" applyFont="1" applyFill="1" applyBorder="1" applyAlignment="1">
      <alignment horizontal="center" vertical="center"/>
    </xf>
    <xf numFmtId="0" fontId="6" fillId="9" borderId="43" xfId="0" applyFont="1" applyFill="1" applyBorder="1" applyAlignment="1">
      <alignment horizontal="center" vertical="center"/>
    </xf>
    <xf numFmtId="0" fontId="5" fillId="9" borderId="44" xfId="0" applyFont="1" applyFill="1" applyBorder="1" applyAlignment="1">
      <alignment vertical="center"/>
    </xf>
    <xf numFmtId="165" fontId="5" fillId="37" borderId="4" xfId="0" applyNumberFormat="1" applyFont="1" applyFill="1" applyBorder="1" applyAlignment="1">
      <alignment vertical="center"/>
    </xf>
    <xf numFmtId="0" fontId="5" fillId="9" borderId="48" xfId="0" applyFont="1" applyFill="1" applyBorder="1" applyAlignment="1">
      <alignment vertical="center"/>
    </xf>
    <xf numFmtId="165" fontId="5" fillId="37" borderId="38" xfId="0" applyNumberFormat="1" applyFont="1" applyFill="1" applyBorder="1" applyAlignment="1">
      <alignment vertical="center"/>
    </xf>
    <xf numFmtId="0" fontId="45" fillId="40" borderId="46" xfId="0" applyFont="1" applyFill="1" applyBorder="1" applyAlignment="1">
      <alignment vertical="center"/>
    </xf>
    <xf numFmtId="165" fontId="45" fillId="41" borderId="50" xfId="0" applyNumberFormat="1" applyFont="1" applyFill="1" applyBorder="1" applyAlignment="1">
      <alignment vertical="center"/>
    </xf>
    <xf numFmtId="44" fontId="5" fillId="36" borderId="4" xfId="3" applyFont="1" applyFill="1" applyBorder="1" applyAlignment="1">
      <alignment vertical="center"/>
    </xf>
    <xf numFmtId="44" fontId="5" fillId="36" borderId="45" xfId="3" applyFont="1" applyFill="1" applyBorder="1" applyAlignment="1">
      <alignment vertical="center"/>
    </xf>
    <xf numFmtId="44" fontId="5" fillId="36" borderId="38" xfId="3" applyFont="1" applyFill="1" applyBorder="1" applyAlignment="1">
      <alignment vertical="center"/>
    </xf>
    <xf numFmtId="44" fontId="5" fillId="36" borderId="49" xfId="3" applyFont="1" applyFill="1" applyBorder="1" applyAlignment="1">
      <alignment vertical="center"/>
    </xf>
    <xf numFmtId="165" fontId="44" fillId="39" borderId="47" xfId="0" applyNumberFormat="1" applyFont="1" applyFill="1" applyBorder="1" applyAlignment="1">
      <alignment vertical="center"/>
    </xf>
    <xf numFmtId="165" fontId="45" fillId="41" borderId="47" xfId="0" applyNumberFormat="1" applyFont="1" applyFill="1" applyBorder="1" applyAlignment="1">
      <alignment vertical="center"/>
    </xf>
    <xf numFmtId="44" fontId="5" fillId="29" borderId="4" xfId="3" applyFont="1" applyFill="1" applyBorder="1" applyAlignment="1">
      <alignment vertical="center"/>
    </xf>
    <xf numFmtId="44" fontId="5" fillId="29" borderId="45" xfId="3" applyFont="1" applyFill="1" applyBorder="1" applyAlignment="1">
      <alignment vertical="center"/>
    </xf>
    <xf numFmtId="44" fontId="5" fillId="29" borderId="49" xfId="3" applyFont="1" applyFill="1" applyBorder="1" applyAlignment="1">
      <alignment vertical="center"/>
    </xf>
    <xf numFmtId="0" fontId="6" fillId="42" borderId="42" xfId="0" applyFont="1" applyFill="1" applyBorder="1" applyAlignment="1">
      <alignment vertical="center"/>
    </xf>
    <xf numFmtId="0" fontId="6" fillId="42" borderId="51" xfId="0" applyFont="1" applyFill="1" applyBorder="1" applyAlignment="1">
      <alignment horizontal="center" vertical="center"/>
    </xf>
    <xf numFmtId="0" fontId="6" fillId="42" borderId="43" xfId="0" applyFont="1" applyFill="1" applyBorder="1" applyAlignment="1">
      <alignment horizontal="center" vertical="center"/>
    </xf>
    <xf numFmtId="0" fontId="5" fillId="42" borderId="44" xfId="0" applyFont="1" applyFill="1" applyBorder="1" applyAlignment="1">
      <alignment vertical="center"/>
    </xf>
    <xf numFmtId="165" fontId="5" fillId="43" borderId="4" xfId="0" applyNumberFormat="1" applyFont="1" applyFill="1" applyBorder="1" applyAlignment="1">
      <alignment vertical="center"/>
    </xf>
    <xf numFmtId="44" fontId="5" fillId="44" borderId="45" xfId="3" applyFont="1" applyFill="1" applyBorder="1" applyAlignment="1">
      <alignment vertical="center"/>
    </xf>
    <xf numFmtId="0" fontId="5" fillId="42" borderId="48" xfId="0" applyFont="1" applyFill="1" applyBorder="1" applyAlignment="1">
      <alignment vertical="center"/>
    </xf>
    <xf numFmtId="165" fontId="5" fillId="43" borderId="38" xfId="0" applyNumberFormat="1" applyFont="1" applyFill="1" applyBorder="1" applyAlignment="1">
      <alignment vertical="center"/>
    </xf>
    <xf numFmtId="44" fontId="5" fillId="44" borderId="49" xfId="3" applyFont="1" applyFill="1" applyBorder="1" applyAlignment="1">
      <alignment vertical="center"/>
    </xf>
    <xf numFmtId="0" fontId="46" fillId="45" borderId="46" xfId="0" applyFont="1" applyFill="1" applyBorder="1" applyAlignment="1">
      <alignment vertical="center"/>
    </xf>
    <xf numFmtId="165" fontId="46" fillId="46" borderId="50" xfId="0" applyNumberFormat="1" applyFont="1" applyFill="1" applyBorder="1" applyAlignment="1">
      <alignment vertical="center"/>
    </xf>
    <xf numFmtId="165" fontId="46" fillId="46" borderId="47" xfId="0" applyNumberFormat="1" applyFont="1" applyFill="1" applyBorder="1" applyAlignment="1">
      <alignment vertical="center"/>
    </xf>
    <xf numFmtId="0" fontId="6" fillId="47" borderId="42" xfId="0" applyFont="1" applyFill="1" applyBorder="1" applyAlignment="1">
      <alignment vertical="center"/>
    </xf>
    <xf numFmtId="0" fontId="6" fillId="47" borderId="51" xfId="0" applyFont="1" applyFill="1" applyBorder="1" applyAlignment="1">
      <alignment horizontal="center" vertical="center"/>
    </xf>
    <xf numFmtId="0" fontId="6" fillId="47" borderId="43" xfId="0" applyFont="1" applyFill="1" applyBorder="1" applyAlignment="1">
      <alignment horizontal="center" vertical="center"/>
    </xf>
    <xf numFmtId="0" fontId="5" fillId="47" borderId="44" xfId="0" applyFont="1" applyFill="1" applyBorder="1" applyAlignment="1">
      <alignment vertical="center"/>
    </xf>
    <xf numFmtId="165" fontId="5" fillId="48" borderId="4" xfId="0" applyNumberFormat="1" applyFont="1" applyFill="1" applyBorder="1" applyAlignment="1">
      <alignment vertical="center"/>
    </xf>
    <xf numFmtId="44" fontId="5" fillId="49" borderId="4" xfId="3" applyFont="1" applyFill="1" applyBorder="1" applyAlignment="1">
      <alignment vertical="center"/>
    </xf>
    <xf numFmtId="44" fontId="5" fillId="49" borderId="45" xfId="3" applyFont="1" applyFill="1" applyBorder="1" applyAlignment="1">
      <alignment vertical="center"/>
    </xf>
    <xf numFmtId="0" fontId="5" fillId="47" borderId="48" xfId="0" applyFont="1" applyFill="1" applyBorder="1" applyAlignment="1">
      <alignment vertical="center"/>
    </xf>
    <xf numFmtId="165" fontId="5" fillId="48" borderId="38" xfId="0" applyNumberFormat="1" applyFont="1" applyFill="1" applyBorder="1" applyAlignment="1">
      <alignment vertical="center"/>
    </xf>
    <xf numFmtId="44" fontId="5" fillId="49" borderId="38" xfId="3" applyFont="1" applyFill="1" applyBorder="1" applyAlignment="1">
      <alignment vertical="center"/>
    </xf>
    <xf numFmtId="44" fontId="5" fillId="49" borderId="49" xfId="3" applyFont="1" applyFill="1" applyBorder="1" applyAlignment="1">
      <alignment vertical="center"/>
    </xf>
    <xf numFmtId="0" fontId="47" fillId="50" borderId="46" xfId="0" applyFont="1" applyFill="1" applyBorder="1" applyAlignment="1">
      <alignment vertical="center"/>
    </xf>
    <xf numFmtId="165" fontId="47" fillId="51" borderId="50" xfId="0" applyNumberFormat="1" applyFont="1" applyFill="1" applyBorder="1" applyAlignment="1">
      <alignment vertical="center"/>
    </xf>
    <xf numFmtId="165" fontId="47" fillId="51" borderId="47" xfId="0" applyNumberFormat="1" applyFont="1" applyFill="1" applyBorder="1" applyAlignment="1">
      <alignment vertical="center"/>
    </xf>
    <xf numFmtId="165" fontId="0" fillId="0" borderId="0" xfId="0" applyNumberFormat="1" applyAlignment="1">
      <alignment vertical="center"/>
    </xf>
    <xf numFmtId="0" fontId="5" fillId="47" borderId="52" xfId="0" applyFont="1" applyFill="1" applyBorder="1" applyAlignment="1">
      <alignment vertical="center"/>
    </xf>
    <xf numFmtId="165" fontId="5" fillId="48" borderId="53" xfId="0" applyNumberFormat="1" applyFont="1" applyFill="1" applyBorder="1" applyAlignment="1">
      <alignment vertical="center"/>
    </xf>
    <xf numFmtId="44" fontId="5" fillId="49" borderId="53" xfId="3" applyFont="1" applyFill="1" applyBorder="1" applyAlignment="1">
      <alignment vertical="center"/>
    </xf>
    <xf numFmtId="44" fontId="5" fillId="49" borderId="54" xfId="3" applyFont="1" applyFill="1" applyBorder="1" applyAlignment="1">
      <alignment vertical="center"/>
    </xf>
    <xf numFmtId="0" fontId="6" fillId="52" borderId="55" xfId="0" applyFont="1" applyFill="1" applyBorder="1" applyAlignment="1">
      <alignment vertical="center"/>
    </xf>
    <xf numFmtId="165" fontId="5" fillId="52" borderId="56" xfId="0" applyNumberFormat="1" applyFont="1" applyFill="1" applyBorder="1" applyAlignment="1">
      <alignment horizontal="center" vertical="center"/>
    </xf>
    <xf numFmtId="0" fontId="6" fillId="53" borderId="55" xfId="0" applyFont="1" applyFill="1" applyBorder="1" applyAlignment="1">
      <alignment vertical="center"/>
    </xf>
    <xf numFmtId="165" fontId="5" fillId="53" borderId="56" xfId="0" applyNumberFormat="1" applyFont="1" applyFill="1" applyBorder="1" applyAlignment="1">
      <alignment horizontal="center" vertical="center"/>
    </xf>
    <xf numFmtId="165" fontId="6" fillId="53" borderId="57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165" fontId="48" fillId="52" borderId="57" xfId="0" applyNumberFormat="1" applyFont="1" applyFill="1" applyBorder="1" applyAlignment="1">
      <alignment horizontal="center" vertical="center"/>
    </xf>
    <xf numFmtId="165" fontId="49" fillId="52" borderId="57" xfId="0" applyNumberFormat="1" applyFont="1" applyFill="1" applyBorder="1" applyAlignment="1">
      <alignment horizontal="center" vertical="center"/>
    </xf>
    <xf numFmtId="44" fontId="50" fillId="0" borderId="43" xfId="3" applyFont="1" applyBorder="1" applyAlignment="1">
      <alignment vertical="center"/>
    </xf>
    <xf numFmtId="0" fontId="51" fillId="34" borderId="4" xfId="0" applyFont="1" applyFill="1" applyBorder="1" applyAlignment="1">
      <alignment horizontal="center" vertical="center"/>
    </xf>
    <xf numFmtId="0" fontId="51" fillId="9" borderId="4" xfId="0" applyFont="1" applyFill="1" applyBorder="1" applyAlignment="1">
      <alignment horizontal="center" vertical="center"/>
    </xf>
    <xf numFmtId="0" fontId="51" fillId="42" borderId="4" xfId="0" applyFont="1" applyFill="1" applyBorder="1" applyAlignment="1">
      <alignment horizontal="center" vertical="center"/>
    </xf>
    <xf numFmtId="0" fontId="51" fillId="47" borderId="4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23" fillId="36" borderId="4" xfId="1" applyFont="1" applyFill="1" applyBorder="1" applyAlignment="1">
      <alignment horizontal="center" vertical="center"/>
    </xf>
    <xf numFmtId="9" fontId="23" fillId="29" borderId="4" xfId="1" applyFont="1" applyFill="1" applyBorder="1" applyAlignment="1">
      <alignment horizontal="center" vertical="center"/>
    </xf>
    <xf numFmtId="9" fontId="23" fillId="44" borderId="4" xfId="1" applyFont="1" applyFill="1" applyBorder="1" applyAlignment="1">
      <alignment horizontal="center" vertical="center"/>
    </xf>
    <xf numFmtId="9" fontId="23" fillId="49" borderId="4" xfId="1" applyFont="1" applyFill="1" applyBorder="1" applyAlignment="1">
      <alignment horizontal="center" vertical="center"/>
    </xf>
    <xf numFmtId="9" fontId="51" fillId="54" borderId="4" xfId="1" applyFont="1" applyFill="1" applyBorder="1" applyAlignment="1">
      <alignment horizontal="center" vertical="center"/>
    </xf>
    <xf numFmtId="9" fontId="51" fillId="55" borderId="4" xfId="1" applyFont="1" applyFill="1" applyBorder="1" applyAlignment="1">
      <alignment horizontal="center" vertical="center"/>
    </xf>
    <xf numFmtId="9" fontId="51" fillId="57" borderId="4" xfId="1" applyFont="1" applyFill="1" applyBorder="1" applyAlignment="1">
      <alignment horizontal="center" vertical="center"/>
    </xf>
    <xf numFmtId="9" fontId="51" fillId="56" borderId="4" xfId="1" applyFont="1" applyFill="1" applyBorder="1" applyAlignment="1">
      <alignment horizontal="center" vertical="center"/>
    </xf>
    <xf numFmtId="44" fontId="0" fillId="0" borderId="0" xfId="0" applyNumberFormat="1" applyAlignment="1">
      <alignment vertical="center"/>
    </xf>
    <xf numFmtId="0" fontId="0" fillId="0" borderId="4" xfId="7" applyFont="1" applyAlignment="1">
      <alignment vertical="center"/>
    </xf>
    <xf numFmtId="0" fontId="23" fillId="0" borderId="4" xfId="7" applyFont="1" applyAlignment="1">
      <alignment horizontal="center" vertical="center"/>
    </xf>
    <xf numFmtId="0" fontId="17" fillId="0" borderId="4" xfId="7" applyFont="1" applyAlignment="1">
      <alignment vertical="center"/>
    </xf>
    <xf numFmtId="0" fontId="42" fillId="0" borderId="42" xfId="7" applyFont="1" applyBorder="1" applyAlignment="1">
      <alignment horizontal="right" vertical="center"/>
    </xf>
    <xf numFmtId="44" fontId="50" fillId="0" borderId="43" xfId="8" applyFont="1" applyBorder="1" applyAlignment="1">
      <alignment vertical="center"/>
    </xf>
    <xf numFmtId="0" fontId="6" fillId="34" borderId="42" xfId="7" applyFont="1" applyFill="1" applyBorder="1" applyAlignment="1">
      <alignment vertical="center"/>
    </xf>
    <xf numFmtId="0" fontId="6" fillId="34" borderId="51" xfId="7" applyFont="1" applyFill="1" applyBorder="1" applyAlignment="1">
      <alignment horizontal="center" vertical="center"/>
    </xf>
    <xf numFmtId="0" fontId="6" fillId="34" borderId="43" xfId="7" applyFont="1" applyFill="1" applyBorder="1" applyAlignment="1">
      <alignment horizontal="center" vertical="center"/>
    </xf>
    <xf numFmtId="0" fontId="51" fillId="34" borderId="4" xfId="7" applyFont="1" applyFill="1" applyAlignment="1">
      <alignment horizontal="center" vertical="center"/>
    </xf>
    <xf numFmtId="0" fontId="43" fillId="0" borderId="4" xfId="7" applyFont="1" applyAlignment="1">
      <alignment vertical="center"/>
    </xf>
    <xf numFmtId="0" fontId="0" fillId="0" borderId="44" xfId="7" applyFont="1" applyBorder="1" applyAlignment="1">
      <alignment vertical="center"/>
    </xf>
    <xf numFmtId="0" fontId="0" fillId="0" borderId="45" xfId="7" applyFont="1" applyBorder="1" applyAlignment="1">
      <alignment vertical="center"/>
    </xf>
    <xf numFmtId="0" fontId="5" fillId="34" borderId="44" xfId="7" applyFont="1" applyFill="1" applyBorder="1" applyAlignment="1">
      <alignment vertical="center"/>
    </xf>
    <xf numFmtId="165" fontId="5" fillId="35" borderId="4" xfId="7" applyNumberFormat="1" applyFont="1" applyFill="1" applyAlignment="1">
      <alignment vertical="center"/>
    </xf>
    <xf numFmtId="44" fontId="5" fillId="36" borderId="4" xfId="8" applyFont="1" applyFill="1" applyBorder="1" applyAlignment="1">
      <alignment vertical="center"/>
    </xf>
    <xf numFmtId="44" fontId="5" fillId="36" borderId="45" xfId="8" applyFont="1" applyFill="1" applyBorder="1" applyAlignment="1">
      <alignment vertical="center"/>
    </xf>
    <xf numFmtId="9" fontId="23" fillId="36" borderId="4" xfId="9" applyFont="1" applyFill="1" applyBorder="1" applyAlignment="1">
      <alignment horizontal="center" vertical="center"/>
    </xf>
    <xf numFmtId="0" fontId="5" fillId="34" borderId="48" xfId="7" applyFont="1" applyFill="1" applyBorder="1" applyAlignment="1">
      <alignment vertical="center"/>
    </xf>
    <xf numFmtId="165" fontId="5" fillId="35" borderId="38" xfId="7" applyNumberFormat="1" applyFont="1" applyFill="1" applyBorder="1" applyAlignment="1">
      <alignment vertical="center"/>
    </xf>
    <xf numFmtId="44" fontId="5" fillId="36" borderId="38" xfId="8" applyFont="1" applyFill="1" applyBorder="1" applyAlignment="1">
      <alignment vertical="center"/>
    </xf>
    <xf numFmtId="44" fontId="5" fillId="36" borderId="49" xfId="8" applyFont="1" applyFill="1" applyBorder="1" applyAlignment="1">
      <alignment vertical="center"/>
    </xf>
    <xf numFmtId="0" fontId="44" fillId="38" borderId="46" xfId="7" applyFont="1" applyFill="1" applyBorder="1" applyAlignment="1">
      <alignment vertical="center"/>
    </xf>
    <xf numFmtId="165" fontId="44" fillId="39" borderId="50" xfId="7" applyNumberFormat="1" applyFont="1" applyFill="1" applyBorder="1" applyAlignment="1">
      <alignment vertical="center"/>
    </xf>
    <xf numFmtId="165" fontId="44" fillId="39" borderId="47" xfId="7" applyNumberFormat="1" applyFont="1" applyFill="1" applyBorder="1" applyAlignment="1">
      <alignment vertical="center"/>
    </xf>
    <xf numFmtId="9" fontId="51" fillId="54" borderId="4" xfId="9" applyFont="1" applyFill="1" applyBorder="1" applyAlignment="1">
      <alignment horizontal="center" vertical="center"/>
    </xf>
    <xf numFmtId="0" fontId="5" fillId="0" borderId="4" xfId="7" applyFont="1" applyAlignment="1">
      <alignment vertical="center"/>
    </xf>
    <xf numFmtId="0" fontId="6" fillId="9" borderId="42" xfId="7" applyFont="1" applyFill="1" applyBorder="1" applyAlignment="1">
      <alignment vertical="center"/>
    </xf>
    <xf numFmtId="0" fontId="6" fillId="9" borderId="51" xfId="7" applyFont="1" applyFill="1" applyBorder="1" applyAlignment="1">
      <alignment horizontal="center" vertical="center"/>
    </xf>
    <xf numFmtId="0" fontId="6" fillId="9" borderId="43" xfId="7" applyFont="1" applyFill="1" applyBorder="1" applyAlignment="1">
      <alignment horizontal="center" vertical="center"/>
    </xf>
    <xf numFmtId="0" fontId="51" fillId="9" borderId="4" xfId="7" applyFont="1" applyFill="1" applyAlignment="1">
      <alignment horizontal="center" vertical="center"/>
    </xf>
    <xf numFmtId="0" fontId="0" fillId="0" borderId="46" xfId="7" applyFont="1" applyBorder="1" applyAlignment="1">
      <alignment vertical="center"/>
    </xf>
    <xf numFmtId="0" fontId="0" fillId="0" borderId="47" xfId="7" applyFont="1" applyBorder="1" applyAlignment="1">
      <alignment vertical="center"/>
    </xf>
    <xf numFmtId="0" fontId="5" fillId="9" borderId="44" xfId="7" applyFont="1" applyFill="1" applyBorder="1" applyAlignment="1">
      <alignment vertical="center"/>
    </xf>
    <xf numFmtId="165" fontId="5" fillId="37" borderId="4" xfId="7" applyNumberFormat="1" applyFont="1" applyFill="1" applyAlignment="1">
      <alignment vertical="center"/>
    </xf>
    <xf numFmtId="44" fontId="5" fillId="29" borderId="4" xfId="8" applyFont="1" applyFill="1" applyBorder="1" applyAlignment="1">
      <alignment vertical="center"/>
    </xf>
    <xf numFmtId="44" fontId="5" fillId="29" borderId="45" xfId="8" applyFont="1" applyFill="1" applyBorder="1" applyAlignment="1">
      <alignment vertical="center"/>
    </xf>
    <xf numFmtId="9" fontId="23" fillId="29" borderId="4" xfId="9" applyFont="1" applyFill="1" applyBorder="1" applyAlignment="1">
      <alignment horizontal="center" vertical="center"/>
    </xf>
    <xf numFmtId="165" fontId="0" fillId="0" borderId="4" xfId="7" applyNumberFormat="1" applyFont="1" applyAlignment="1">
      <alignment vertical="center"/>
    </xf>
    <xf numFmtId="0" fontId="5" fillId="9" borderId="48" xfId="7" applyFont="1" applyFill="1" applyBorder="1" applyAlignment="1">
      <alignment vertical="center"/>
    </xf>
    <xf numFmtId="165" fontId="5" fillId="37" borderId="38" xfId="7" applyNumberFormat="1" applyFont="1" applyFill="1" applyBorder="1" applyAlignment="1">
      <alignment vertical="center"/>
    </xf>
    <xf numFmtId="44" fontId="5" fillId="29" borderId="49" xfId="8" applyFont="1" applyFill="1" applyBorder="1" applyAlignment="1">
      <alignment vertical="center"/>
    </xf>
    <xf numFmtId="0" fontId="45" fillId="40" borderId="46" xfId="7" applyFont="1" applyFill="1" applyBorder="1" applyAlignment="1">
      <alignment vertical="center"/>
    </xf>
    <xf numFmtId="165" fontId="45" fillId="41" borderId="50" xfId="7" applyNumberFormat="1" applyFont="1" applyFill="1" applyBorder="1" applyAlignment="1">
      <alignment vertical="center"/>
    </xf>
    <xf numFmtId="165" fontId="45" fillId="41" borderId="47" xfId="7" applyNumberFormat="1" applyFont="1" applyFill="1" applyBorder="1" applyAlignment="1">
      <alignment vertical="center"/>
    </xf>
    <xf numFmtId="9" fontId="51" fillId="55" borderId="4" xfId="9" applyFont="1" applyFill="1" applyBorder="1" applyAlignment="1">
      <alignment horizontal="center" vertical="center"/>
    </xf>
    <xf numFmtId="0" fontId="6" fillId="52" borderId="55" xfId="7" applyFont="1" applyFill="1" applyBorder="1" applyAlignment="1">
      <alignment vertical="center"/>
    </xf>
    <xf numFmtId="165" fontId="5" fillId="52" borderId="56" xfId="7" applyNumberFormat="1" applyFont="1" applyFill="1" applyBorder="1" applyAlignment="1">
      <alignment horizontal="center" vertical="center"/>
    </xf>
    <xf numFmtId="165" fontId="49" fillId="52" borderId="57" xfId="7" applyNumberFormat="1" applyFont="1" applyFill="1" applyBorder="1" applyAlignment="1">
      <alignment horizontal="center" vertical="center"/>
    </xf>
    <xf numFmtId="0" fontId="6" fillId="42" borderId="42" xfId="7" applyFont="1" applyFill="1" applyBorder="1" applyAlignment="1">
      <alignment vertical="center"/>
    </xf>
    <xf numFmtId="0" fontId="6" fillId="42" borderId="51" xfId="7" applyFont="1" applyFill="1" applyBorder="1" applyAlignment="1">
      <alignment horizontal="center" vertical="center"/>
    </xf>
    <xf numFmtId="0" fontId="6" fillId="42" borderId="43" xfId="7" applyFont="1" applyFill="1" applyBorder="1" applyAlignment="1">
      <alignment horizontal="center" vertical="center"/>
    </xf>
    <xf numFmtId="0" fontId="51" fillId="42" borderId="4" xfId="7" applyFont="1" applyFill="1" applyAlignment="1">
      <alignment horizontal="center" vertical="center"/>
    </xf>
    <xf numFmtId="0" fontId="5" fillId="42" borderId="44" xfId="7" applyFont="1" applyFill="1" applyBorder="1" applyAlignment="1">
      <alignment vertical="center"/>
    </xf>
    <xf numFmtId="165" fontId="5" fillId="43" borderId="4" xfId="7" applyNumberFormat="1" applyFont="1" applyFill="1" applyAlignment="1">
      <alignment vertical="center"/>
    </xf>
    <xf numFmtId="44" fontId="5" fillId="44" borderId="45" xfId="8" applyFont="1" applyFill="1" applyBorder="1" applyAlignment="1">
      <alignment vertical="center"/>
    </xf>
    <xf numFmtId="9" fontId="23" fillId="44" borderId="4" xfId="9" applyFont="1" applyFill="1" applyBorder="1" applyAlignment="1">
      <alignment horizontal="center" vertical="center"/>
    </xf>
    <xf numFmtId="0" fontId="5" fillId="42" borderId="48" xfId="7" applyFont="1" applyFill="1" applyBorder="1" applyAlignment="1">
      <alignment vertical="center"/>
    </xf>
    <xf numFmtId="165" fontId="5" fillId="43" borderId="38" xfId="7" applyNumberFormat="1" applyFont="1" applyFill="1" applyBorder="1" applyAlignment="1">
      <alignment vertical="center"/>
    </xf>
    <xf numFmtId="44" fontId="5" fillId="44" borderId="49" xfId="8" applyFont="1" applyFill="1" applyBorder="1" applyAlignment="1">
      <alignment vertical="center"/>
    </xf>
    <xf numFmtId="0" fontId="46" fillId="45" borderId="46" xfId="7" applyFont="1" applyFill="1" applyBorder="1" applyAlignment="1">
      <alignment vertical="center"/>
    </xf>
    <xf numFmtId="165" fontId="46" fillId="46" borderId="50" xfId="7" applyNumberFormat="1" applyFont="1" applyFill="1" applyBorder="1" applyAlignment="1">
      <alignment vertical="center"/>
    </xf>
    <xf numFmtId="165" fontId="46" fillId="46" borderId="47" xfId="7" applyNumberFormat="1" applyFont="1" applyFill="1" applyBorder="1" applyAlignment="1">
      <alignment vertical="center"/>
    </xf>
    <xf numFmtId="9" fontId="51" fillId="56" borderId="4" xfId="9" applyFont="1" applyFill="1" applyBorder="1" applyAlignment="1">
      <alignment horizontal="center" vertical="center"/>
    </xf>
    <xf numFmtId="0" fontId="6" fillId="47" borderId="42" xfId="7" applyFont="1" applyFill="1" applyBorder="1" applyAlignment="1">
      <alignment vertical="center"/>
    </xf>
    <xf numFmtId="0" fontId="6" fillId="47" borderId="51" xfId="7" applyFont="1" applyFill="1" applyBorder="1" applyAlignment="1">
      <alignment horizontal="center" vertical="center"/>
    </xf>
    <xf numFmtId="0" fontId="6" fillId="47" borderId="43" xfId="7" applyFont="1" applyFill="1" applyBorder="1" applyAlignment="1">
      <alignment horizontal="center" vertical="center"/>
    </xf>
    <xf numFmtId="0" fontId="51" fillId="47" borderId="4" xfId="7" applyFont="1" applyFill="1" applyAlignment="1">
      <alignment horizontal="center" vertical="center"/>
    </xf>
    <xf numFmtId="0" fontId="5" fillId="47" borderId="44" xfId="7" applyFont="1" applyFill="1" applyBorder="1" applyAlignment="1">
      <alignment vertical="center"/>
    </xf>
    <xf numFmtId="165" fontId="5" fillId="48" borderId="4" xfId="7" applyNumberFormat="1" applyFont="1" applyFill="1" applyAlignment="1">
      <alignment vertical="center"/>
    </xf>
    <xf numFmtId="44" fontId="5" fillId="49" borderId="4" xfId="8" applyFont="1" applyFill="1" applyBorder="1" applyAlignment="1">
      <alignment vertical="center"/>
    </xf>
    <xf numFmtId="44" fontId="5" fillId="49" borderId="45" xfId="8" applyFont="1" applyFill="1" applyBorder="1" applyAlignment="1">
      <alignment vertical="center"/>
    </xf>
    <xf numFmtId="9" fontId="23" fillId="49" borderId="4" xfId="9" applyFont="1" applyFill="1" applyBorder="1" applyAlignment="1">
      <alignment horizontal="center" vertical="center"/>
    </xf>
    <xf numFmtId="0" fontId="5" fillId="47" borderId="52" xfId="7" applyFont="1" applyFill="1" applyBorder="1" applyAlignment="1">
      <alignment vertical="center"/>
    </xf>
    <xf numFmtId="165" fontId="5" fillId="48" borderId="53" xfId="7" applyNumberFormat="1" applyFont="1" applyFill="1" applyBorder="1" applyAlignment="1">
      <alignment vertical="center"/>
    </xf>
    <xf numFmtId="44" fontId="5" fillId="49" borderId="53" xfId="8" applyFont="1" applyFill="1" applyBorder="1" applyAlignment="1">
      <alignment vertical="center"/>
    </xf>
    <xf numFmtId="44" fontId="5" fillId="49" borderId="54" xfId="8" applyFont="1" applyFill="1" applyBorder="1" applyAlignment="1">
      <alignment vertical="center"/>
    </xf>
    <xf numFmtId="0" fontId="5" fillId="47" borderId="48" xfId="7" applyFont="1" applyFill="1" applyBorder="1" applyAlignment="1">
      <alignment vertical="center"/>
    </xf>
    <xf numFmtId="165" fontId="5" fillId="48" borderId="38" xfId="7" applyNumberFormat="1" applyFont="1" applyFill="1" applyBorder="1" applyAlignment="1">
      <alignment vertical="center"/>
    </xf>
    <xf numFmtId="44" fontId="5" fillId="49" borderId="38" xfId="8" applyFont="1" applyFill="1" applyBorder="1" applyAlignment="1">
      <alignment vertical="center"/>
    </xf>
    <xf numFmtId="44" fontId="5" fillId="49" borderId="49" xfId="8" applyFont="1" applyFill="1" applyBorder="1" applyAlignment="1">
      <alignment vertical="center"/>
    </xf>
    <xf numFmtId="0" fontId="47" fillId="50" borderId="46" xfId="7" applyFont="1" applyFill="1" applyBorder="1" applyAlignment="1">
      <alignment vertical="center"/>
    </xf>
    <xf numFmtId="165" fontId="47" fillId="51" borderId="50" xfId="7" applyNumberFormat="1" applyFont="1" applyFill="1" applyBorder="1" applyAlignment="1">
      <alignment vertical="center"/>
    </xf>
    <xf numFmtId="165" fontId="47" fillId="51" borderId="47" xfId="7" applyNumberFormat="1" applyFont="1" applyFill="1" applyBorder="1" applyAlignment="1">
      <alignment vertical="center"/>
    </xf>
    <xf numFmtId="9" fontId="51" fillId="57" borderId="4" xfId="9" applyFont="1" applyFill="1" applyBorder="1" applyAlignment="1">
      <alignment horizontal="center" vertical="center"/>
    </xf>
    <xf numFmtId="165" fontId="48" fillId="52" borderId="57" xfId="7" applyNumberFormat="1" applyFont="1" applyFill="1" applyBorder="1" applyAlignment="1">
      <alignment horizontal="center" vertical="center"/>
    </xf>
    <xf numFmtId="0" fontId="6" fillId="53" borderId="55" xfId="7" applyFont="1" applyFill="1" applyBorder="1" applyAlignment="1">
      <alignment vertical="center"/>
    </xf>
    <xf numFmtId="165" fontId="5" fillId="53" borderId="56" xfId="7" applyNumberFormat="1" applyFont="1" applyFill="1" applyBorder="1" applyAlignment="1">
      <alignment horizontal="center" vertical="center"/>
    </xf>
    <xf numFmtId="165" fontId="6" fillId="53" borderId="57" xfId="7" applyNumberFormat="1" applyFont="1" applyFill="1" applyBorder="1" applyAlignment="1">
      <alignment horizontal="center" vertical="center"/>
    </xf>
    <xf numFmtId="0" fontId="5" fillId="0" borderId="33" xfId="4" applyFont="1" applyBorder="1" applyAlignment="1">
      <alignment horizontal="left"/>
    </xf>
    <xf numFmtId="0" fontId="5" fillId="0" borderId="34" xfId="4" applyFont="1" applyBorder="1" applyAlignment="1">
      <alignment vertical="center"/>
    </xf>
    <xf numFmtId="44" fontId="5" fillId="0" borderId="35" xfId="5" applyFont="1" applyFill="1" applyBorder="1"/>
    <xf numFmtId="0" fontId="53" fillId="0" borderId="4" xfId="4" applyFont="1"/>
    <xf numFmtId="0" fontId="6" fillId="0" borderId="42" xfId="7" applyFont="1" applyBorder="1" applyAlignment="1">
      <alignment horizontal="right" vertical="center"/>
    </xf>
    <xf numFmtId="44" fontId="64" fillId="0" borderId="43" xfId="8" applyFont="1" applyBorder="1" applyAlignment="1">
      <alignment vertical="center"/>
    </xf>
    <xf numFmtId="0" fontId="6" fillId="0" borderId="42" xfId="7" applyFont="1" applyBorder="1" applyAlignment="1">
      <alignment horizontal="center" vertical="center"/>
    </xf>
    <xf numFmtId="44" fontId="64" fillId="0" borderId="43" xfId="8" applyFont="1" applyBorder="1" applyAlignment="1">
      <alignment horizontal="center" vertical="center"/>
    </xf>
    <xf numFmtId="44" fontId="0" fillId="0" borderId="4" xfId="7" applyNumberFormat="1" applyFont="1" applyAlignment="1">
      <alignment vertical="center"/>
    </xf>
    <xf numFmtId="0" fontId="17" fillId="0" borderId="4" xfId="7" applyFont="1" applyAlignment="1">
      <alignment horizontal="center" vertical="center"/>
    </xf>
    <xf numFmtId="9" fontId="17" fillId="0" borderId="4" xfId="1" applyFont="1" applyBorder="1" applyAlignment="1">
      <alignment horizontal="center" vertical="center"/>
    </xf>
    <xf numFmtId="0" fontId="6" fillId="34" borderId="60" xfId="7" applyFont="1" applyFill="1" applyBorder="1" applyAlignment="1">
      <alignment horizontal="center" vertical="center"/>
    </xf>
    <xf numFmtId="44" fontId="5" fillId="36" borderId="61" xfId="8" applyFont="1" applyFill="1" applyBorder="1" applyAlignment="1">
      <alignment vertical="center"/>
    </xf>
    <xf numFmtId="44" fontId="5" fillId="36" borderId="62" xfId="8" applyFont="1" applyFill="1" applyBorder="1" applyAlignment="1">
      <alignment vertical="center"/>
    </xf>
    <xf numFmtId="165" fontId="44" fillId="39" borderId="63" xfId="7" applyNumberFormat="1" applyFont="1" applyFill="1" applyBorder="1" applyAlignment="1">
      <alignment vertical="center"/>
    </xf>
    <xf numFmtId="0" fontId="6" fillId="9" borderId="60" xfId="7" applyFont="1" applyFill="1" applyBorder="1" applyAlignment="1">
      <alignment horizontal="center" vertical="center"/>
    </xf>
    <xf numFmtId="44" fontId="5" fillId="29" borderId="61" xfId="8" applyFont="1" applyFill="1" applyBorder="1" applyAlignment="1">
      <alignment vertical="center"/>
    </xf>
    <xf numFmtId="44" fontId="5" fillId="29" borderId="62" xfId="8" applyFont="1" applyFill="1" applyBorder="1" applyAlignment="1">
      <alignment vertical="center"/>
    </xf>
    <xf numFmtId="165" fontId="45" fillId="41" borderId="63" xfId="7" applyNumberFormat="1" applyFont="1" applyFill="1" applyBorder="1" applyAlignment="1">
      <alignment vertical="center"/>
    </xf>
    <xf numFmtId="0" fontId="6" fillId="42" borderId="60" xfId="7" applyFont="1" applyFill="1" applyBorder="1" applyAlignment="1">
      <alignment horizontal="center" vertical="center"/>
    </xf>
    <xf numFmtId="44" fontId="5" fillId="44" borderId="61" xfId="8" applyFont="1" applyFill="1" applyBorder="1" applyAlignment="1">
      <alignment vertical="center"/>
    </xf>
    <xf numFmtId="44" fontId="5" fillId="44" borderId="62" xfId="8" applyFont="1" applyFill="1" applyBorder="1" applyAlignment="1">
      <alignment vertical="center"/>
    </xf>
    <xf numFmtId="165" fontId="46" fillId="46" borderId="63" xfId="7" applyNumberFormat="1" applyFont="1" applyFill="1" applyBorder="1" applyAlignment="1">
      <alignment vertical="center"/>
    </xf>
    <xf numFmtId="0" fontId="6" fillId="47" borderId="60" xfId="7" applyFont="1" applyFill="1" applyBorder="1" applyAlignment="1">
      <alignment horizontal="center" vertical="center"/>
    </xf>
    <xf numFmtId="44" fontId="5" fillId="49" borderId="61" xfId="8" applyFont="1" applyFill="1" applyBorder="1" applyAlignment="1">
      <alignment vertical="center"/>
    </xf>
    <xf numFmtId="44" fontId="5" fillId="49" borderId="64" xfId="8" applyFont="1" applyFill="1" applyBorder="1" applyAlignment="1">
      <alignment vertical="center"/>
    </xf>
    <xf numFmtId="44" fontId="5" fillId="49" borderId="62" xfId="8" applyFont="1" applyFill="1" applyBorder="1" applyAlignment="1">
      <alignment vertical="center"/>
    </xf>
    <xf numFmtId="165" fontId="47" fillId="51" borderId="63" xfId="7" applyNumberFormat="1" applyFont="1" applyFill="1" applyBorder="1" applyAlignment="1">
      <alignment vertical="center"/>
    </xf>
    <xf numFmtId="0" fontId="6" fillId="0" borderId="46" xfId="7" applyFont="1" applyBorder="1" applyAlignment="1">
      <alignment horizontal="center" vertical="center"/>
    </xf>
    <xf numFmtId="44" fontId="64" fillId="0" borderId="47" xfId="8" applyFont="1" applyBorder="1" applyAlignment="1">
      <alignment horizontal="center" vertical="center"/>
    </xf>
    <xf numFmtId="0" fontId="42" fillId="0" borderId="0" xfId="0" applyFont="1"/>
    <xf numFmtId="0" fontId="23" fillId="0" borderId="0" xfId="0" applyFont="1"/>
    <xf numFmtId="0" fontId="65" fillId="0" borderId="4" xfId="7" applyFont="1" applyAlignment="1">
      <alignment vertical="center"/>
    </xf>
    <xf numFmtId="165" fontId="44" fillId="52" borderId="59" xfId="7" applyNumberFormat="1" applyFont="1" applyFill="1" applyBorder="1" applyAlignment="1">
      <alignment horizontal="center" vertical="center"/>
    </xf>
    <xf numFmtId="165" fontId="44" fillId="52" borderId="57" xfId="7" applyNumberFormat="1" applyFont="1" applyFill="1" applyBorder="1" applyAlignment="1">
      <alignment horizontal="center" vertical="center"/>
    </xf>
    <xf numFmtId="165" fontId="66" fillId="52" borderId="57" xfId="7" applyNumberFormat="1" applyFont="1" applyFill="1" applyBorder="1" applyAlignment="1">
      <alignment horizontal="center" vertical="center"/>
    </xf>
    <xf numFmtId="165" fontId="44" fillId="53" borderId="57" xfId="7" applyNumberFormat="1" applyFont="1" applyFill="1" applyBorder="1" applyAlignment="1">
      <alignment horizontal="center" vertical="center"/>
    </xf>
    <xf numFmtId="165" fontId="44" fillId="53" borderId="59" xfId="7" applyNumberFormat="1" applyFont="1" applyFill="1" applyBorder="1" applyAlignment="1">
      <alignment horizontal="center" vertical="center"/>
    </xf>
    <xf numFmtId="0" fontId="56" fillId="59" borderId="5" xfId="10" applyFont="1" applyFill="1" applyBorder="1" applyAlignment="1">
      <alignment horizontal="center" vertical="center"/>
    </xf>
    <xf numFmtId="4" fontId="56" fillId="59" borderId="5" xfId="10" applyNumberFormat="1" applyFont="1" applyFill="1" applyBorder="1" applyAlignment="1">
      <alignment horizontal="center" vertical="center"/>
    </xf>
    <xf numFmtId="4" fontId="57" fillId="60" borderId="58" xfId="11" applyNumberFormat="1" applyFont="1" applyFill="1" applyBorder="1" applyAlignment="1">
      <alignment horizontal="center" vertical="center"/>
    </xf>
    <xf numFmtId="4" fontId="57" fillId="61" borderId="58" xfId="11" applyNumberFormat="1" applyFont="1" applyFill="1" applyBorder="1" applyAlignment="1">
      <alignment horizontal="center" vertical="center"/>
    </xf>
    <xf numFmtId="4" fontId="57" fillId="62" borderId="58" xfId="11" applyNumberFormat="1" applyFont="1" applyFill="1" applyBorder="1" applyAlignment="1">
      <alignment horizontal="center" vertical="center"/>
    </xf>
    <xf numFmtId="4" fontId="57" fillId="63" borderId="58" xfId="11" applyNumberFormat="1" applyFont="1" applyFill="1" applyBorder="1" applyAlignment="1">
      <alignment horizontal="center" vertical="center"/>
    </xf>
    <xf numFmtId="4" fontId="62" fillId="64" borderId="58" xfId="11" applyNumberFormat="1" applyFont="1" applyFill="1" applyBorder="1" applyAlignment="1">
      <alignment horizontal="center" vertical="center"/>
    </xf>
    <xf numFmtId="0" fontId="2" fillId="0" borderId="4" xfId="10" applyAlignment="1">
      <alignment vertical="center"/>
    </xf>
    <xf numFmtId="0" fontId="2" fillId="44" borderId="5" xfId="10" applyFill="1" applyBorder="1" applyAlignment="1">
      <alignment horizontal="center" vertical="center"/>
    </xf>
    <xf numFmtId="4" fontId="1" fillId="0" borderId="5" xfId="10" applyNumberFormat="1" applyFont="1" applyBorder="1" applyAlignment="1">
      <alignment vertical="center"/>
    </xf>
    <xf numFmtId="4" fontId="59" fillId="58" borderId="5" xfId="11" applyNumberFormat="1" applyFont="1" applyFill="1" applyBorder="1" applyAlignment="1">
      <alignment vertical="center"/>
    </xf>
    <xf numFmtId="4" fontId="59" fillId="14" borderId="5" xfId="11" applyNumberFormat="1" applyFont="1" applyFill="1" applyBorder="1" applyAlignment="1">
      <alignment vertical="center"/>
    </xf>
    <xf numFmtId="4" fontId="59" fillId="14" borderId="5" xfId="10" applyNumberFormat="1" applyFont="1" applyFill="1" applyBorder="1" applyAlignment="1">
      <alignment vertical="center"/>
    </xf>
    <xf numFmtId="4" fontId="60" fillId="14" borderId="5" xfId="10" applyNumberFormat="1" applyFont="1" applyFill="1" applyBorder="1" applyAlignment="1">
      <alignment vertical="center"/>
    </xf>
    <xf numFmtId="4" fontId="60" fillId="14" borderId="5" xfId="10" applyNumberFormat="1" applyFont="1" applyFill="1" applyBorder="1" applyAlignment="1">
      <alignment vertical="center" wrapText="1"/>
    </xf>
    <xf numFmtId="4" fontId="60" fillId="36" borderId="5" xfId="10" applyNumberFormat="1" applyFont="1" applyFill="1" applyBorder="1" applyAlignment="1">
      <alignment vertical="center"/>
    </xf>
    <xf numFmtId="167" fontId="60" fillId="14" borderId="5" xfId="10" applyNumberFormat="1" applyFont="1" applyFill="1" applyBorder="1" applyAlignment="1">
      <alignment vertical="center"/>
    </xf>
    <xf numFmtId="4" fontId="63" fillId="14" borderId="5" xfId="10" applyNumberFormat="1" applyFont="1" applyFill="1" applyBorder="1" applyAlignment="1">
      <alignment vertical="center"/>
    </xf>
    <xf numFmtId="0" fontId="2" fillId="0" borderId="5" xfId="10" applyBorder="1" applyAlignment="1">
      <alignment horizontal="center" vertical="center"/>
    </xf>
    <xf numFmtId="4" fontId="2" fillId="0" borderId="5" xfId="10" applyNumberFormat="1" applyBorder="1" applyAlignment="1">
      <alignment vertical="center"/>
    </xf>
    <xf numFmtId="4" fontId="67" fillId="0" borderId="5" xfId="10" applyNumberFormat="1" applyFont="1" applyBorder="1" applyAlignment="1">
      <alignment vertical="center"/>
    </xf>
    <xf numFmtId="0" fontId="2" fillId="44" borderId="58" xfId="10" applyFill="1" applyBorder="1" applyAlignment="1">
      <alignment horizontal="center" vertical="center"/>
    </xf>
    <xf numFmtId="4" fontId="2" fillId="0" borderId="58" xfId="10" applyNumberFormat="1" applyBorder="1" applyAlignment="1">
      <alignment vertical="center"/>
    </xf>
    <xf numFmtId="4" fontId="61" fillId="58" borderId="5" xfId="11" applyNumberFormat="1" applyFont="1" applyFill="1" applyBorder="1" applyAlignment="1">
      <alignment vertical="center"/>
    </xf>
    <xf numFmtId="4" fontId="2" fillId="14" borderId="5" xfId="10" applyNumberFormat="1" applyFill="1" applyBorder="1" applyAlignment="1">
      <alignment vertical="center"/>
    </xf>
    <xf numFmtId="0" fontId="2" fillId="0" borderId="4" xfId="10" applyAlignment="1">
      <alignment horizontal="center" vertical="center"/>
    </xf>
    <xf numFmtId="4" fontId="52" fillId="0" borderId="4" xfId="10" applyNumberFormat="1" applyFont="1" applyAlignment="1">
      <alignment horizontal="center" vertical="center"/>
    </xf>
    <xf numFmtId="4" fontId="58" fillId="60" borderId="4" xfId="11" applyNumberFormat="1" applyFont="1" applyFill="1" applyAlignment="1">
      <alignment horizontal="right" vertical="center"/>
    </xf>
    <xf numFmtId="4" fontId="58" fillId="58" borderId="4" xfId="11" applyNumberFormat="1" applyFont="1" applyFill="1" applyAlignment="1">
      <alignment horizontal="right" vertical="center"/>
    </xf>
    <xf numFmtId="4" fontId="58" fillId="62" borderId="4" xfId="11" applyNumberFormat="1" applyFont="1" applyFill="1" applyAlignment="1">
      <alignment horizontal="right" vertical="center"/>
    </xf>
    <xf numFmtId="167" fontId="58" fillId="58" borderId="4" xfId="11" applyNumberFormat="1" applyFont="1" applyFill="1" applyAlignment="1">
      <alignment horizontal="right" vertical="center"/>
    </xf>
    <xf numFmtId="0" fontId="2" fillId="44" borderId="4" xfId="10" applyFill="1" applyAlignment="1">
      <alignment horizontal="left" vertical="center"/>
    </xf>
    <xf numFmtId="0" fontId="16" fillId="0" borderId="0" xfId="0" applyFont="1"/>
    <xf numFmtId="0" fontId="27" fillId="0" borderId="5" xfId="0" applyFont="1" applyBorder="1" applyAlignment="1">
      <alignment horizontal="center"/>
    </xf>
    <xf numFmtId="0" fontId="70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9" fontId="0" fillId="0" borderId="5" xfId="1" applyFont="1" applyBorder="1" applyAlignment="1">
      <alignment horizontal="center"/>
    </xf>
    <xf numFmtId="0" fontId="71" fillId="0" borderId="32" xfId="0" applyFont="1" applyBorder="1" applyAlignment="1">
      <alignment horizontal="center"/>
    </xf>
    <xf numFmtId="9" fontId="0" fillId="0" borderId="32" xfId="1" applyFont="1" applyBorder="1" applyAlignment="1">
      <alignment horizontal="center"/>
    </xf>
    <xf numFmtId="0" fontId="0" fillId="0" borderId="66" xfId="0" applyBorder="1"/>
    <xf numFmtId="0" fontId="69" fillId="0" borderId="69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69" fillId="0" borderId="31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71" fillId="0" borderId="72" xfId="0" applyFont="1" applyBorder="1" applyAlignment="1">
      <alignment horizontal="center"/>
    </xf>
    <xf numFmtId="0" fontId="0" fillId="0" borderId="72" xfId="0" applyBorder="1" applyAlignment="1">
      <alignment horizontal="center"/>
    </xf>
    <xf numFmtId="9" fontId="0" fillId="0" borderId="69" xfId="1" applyFont="1" applyBorder="1" applyAlignment="1">
      <alignment horizontal="center"/>
    </xf>
    <xf numFmtId="0" fontId="42" fillId="0" borderId="74" xfId="0" applyFont="1" applyBorder="1" applyAlignment="1">
      <alignment horizontal="center"/>
    </xf>
    <xf numFmtId="0" fontId="42" fillId="0" borderId="75" xfId="0" applyFont="1" applyBorder="1" applyAlignment="1">
      <alignment horizontal="center"/>
    </xf>
    <xf numFmtId="0" fontId="69" fillId="14" borderId="31" xfId="0" applyFont="1" applyFill="1" applyBorder="1" applyAlignment="1">
      <alignment horizontal="center"/>
    </xf>
    <xf numFmtId="0" fontId="27" fillId="14" borderId="5" xfId="0" applyFont="1" applyFill="1" applyBorder="1" applyAlignment="1">
      <alignment horizontal="center"/>
    </xf>
    <xf numFmtId="0" fontId="70" fillId="14" borderId="5" xfId="0" applyFont="1" applyFill="1" applyBorder="1" applyAlignment="1">
      <alignment horizontal="center"/>
    </xf>
    <xf numFmtId="0" fontId="71" fillId="14" borderId="32" xfId="0" applyFont="1" applyFill="1" applyBorder="1" applyAlignment="1">
      <alignment horizontal="center"/>
    </xf>
    <xf numFmtId="0" fontId="0" fillId="14" borderId="31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0" fillId="14" borderId="32" xfId="0" applyFill="1" applyBorder="1" applyAlignment="1">
      <alignment horizontal="center"/>
    </xf>
    <xf numFmtId="0" fontId="0" fillId="65" borderId="66" xfId="0" applyFill="1" applyBorder="1"/>
    <xf numFmtId="0" fontId="0" fillId="65" borderId="31" xfId="0" applyFill="1" applyBorder="1" applyAlignment="1">
      <alignment horizontal="center"/>
    </xf>
    <xf numFmtId="0" fontId="0" fillId="65" borderId="5" xfId="0" applyFill="1" applyBorder="1" applyAlignment="1">
      <alignment horizontal="center"/>
    </xf>
    <xf numFmtId="0" fontId="0" fillId="65" borderId="32" xfId="0" applyFill="1" applyBorder="1" applyAlignment="1">
      <alignment horizontal="center"/>
    </xf>
    <xf numFmtId="0" fontId="0" fillId="65" borderId="69" xfId="0" applyFill="1" applyBorder="1" applyAlignment="1">
      <alignment horizontal="center"/>
    </xf>
    <xf numFmtId="0" fontId="0" fillId="65" borderId="72" xfId="0" applyFill="1" applyBorder="1" applyAlignment="1">
      <alignment horizontal="center"/>
    </xf>
    <xf numFmtId="0" fontId="42" fillId="65" borderId="75" xfId="0" applyFont="1" applyFill="1" applyBorder="1" applyAlignment="1">
      <alignment horizontal="center"/>
    </xf>
    <xf numFmtId="9" fontId="0" fillId="65" borderId="69" xfId="1" applyFont="1" applyFill="1" applyBorder="1" applyAlignment="1">
      <alignment horizontal="center"/>
    </xf>
    <xf numFmtId="9" fontId="0" fillId="65" borderId="5" xfId="1" applyFont="1" applyFill="1" applyBorder="1" applyAlignment="1">
      <alignment horizontal="center"/>
    </xf>
    <xf numFmtId="9" fontId="0" fillId="65" borderId="32" xfId="1" applyFont="1" applyFill="1" applyBorder="1" applyAlignment="1">
      <alignment horizontal="center"/>
    </xf>
    <xf numFmtId="0" fontId="0" fillId="65" borderId="67" xfId="0" applyFill="1" applyBorder="1"/>
    <xf numFmtId="0" fontId="0" fillId="65" borderId="33" xfId="0" applyFill="1" applyBorder="1" applyAlignment="1">
      <alignment horizontal="center"/>
    </xf>
    <xf numFmtId="0" fontId="0" fillId="65" borderId="34" xfId="0" applyFill="1" applyBorder="1" applyAlignment="1">
      <alignment horizontal="center"/>
    </xf>
    <xf numFmtId="0" fontId="0" fillId="65" borderId="35" xfId="0" applyFill="1" applyBorder="1" applyAlignment="1">
      <alignment horizontal="center"/>
    </xf>
    <xf numFmtId="0" fontId="0" fillId="65" borderId="70" xfId="0" applyFill="1" applyBorder="1" applyAlignment="1">
      <alignment horizontal="center"/>
    </xf>
    <xf numFmtId="0" fontId="0" fillId="65" borderId="73" xfId="0" applyFill="1" applyBorder="1" applyAlignment="1">
      <alignment horizontal="center"/>
    </xf>
    <xf numFmtId="0" fontId="42" fillId="65" borderId="76" xfId="0" applyFont="1" applyFill="1" applyBorder="1" applyAlignment="1">
      <alignment horizontal="center"/>
    </xf>
    <xf numFmtId="9" fontId="0" fillId="65" borderId="70" xfId="1" applyFont="1" applyFill="1" applyBorder="1" applyAlignment="1">
      <alignment horizontal="center"/>
    </xf>
    <xf numFmtId="9" fontId="0" fillId="65" borderId="34" xfId="1" applyFont="1" applyFill="1" applyBorder="1" applyAlignment="1">
      <alignment horizontal="center"/>
    </xf>
    <xf numFmtId="9" fontId="0" fillId="65" borderId="35" xfId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2" fillId="0" borderId="4" xfId="0" applyFont="1" applyBorder="1" applyAlignment="1">
      <alignment horizontal="center"/>
    </xf>
    <xf numFmtId="0" fontId="0" fillId="0" borderId="10" xfId="0" applyBorder="1"/>
    <xf numFmtId="0" fontId="42" fillId="0" borderId="9" xfId="0" applyFont="1" applyBorder="1"/>
    <xf numFmtId="0" fontId="0" fillId="0" borderId="4" xfId="0" applyBorder="1"/>
    <xf numFmtId="0" fontId="6" fillId="0" borderId="9" xfId="0" applyFont="1" applyBorder="1" applyAlignment="1">
      <alignment horizontal="center"/>
    </xf>
    <xf numFmtId="17" fontId="5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7" fillId="0" borderId="0" xfId="0" applyFont="1"/>
    <xf numFmtId="0" fontId="65" fillId="0" borderId="0" xfId="0" applyFont="1"/>
    <xf numFmtId="0" fontId="18" fillId="0" borderId="0" xfId="0" applyFont="1"/>
    <xf numFmtId="0" fontId="72" fillId="0" borderId="0" xfId="0" applyFont="1"/>
    <xf numFmtId="0" fontId="71" fillId="0" borderId="4" xfId="0" applyFont="1" applyBorder="1" applyAlignment="1">
      <alignment horizontal="center"/>
    </xf>
    <xf numFmtId="9" fontId="0" fillId="0" borderId="4" xfId="1" applyFont="1" applyFill="1" applyBorder="1" applyAlignment="1">
      <alignment horizontal="center"/>
    </xf>
    <xf numFmtId="0" fontId="73" fillId="0" borderId="0" xfId="0" applyFont="1"/>
    <xf numFmtId="16" fontId="5" fillId="0" borderId="9" xfId="0" applyNumberFormat="1" applyFont="1" applyBorder="1" applyAlignment="1">
      <alignment horizontal="center"/>
    </xf>
    <xf numFmtId="0" fontId="0" fillId="65" borderId="4" xfId="0" applyFill="1" applyBorder="1"/>
    <xf numFmtId="0" fontId="0" fillId="65" borderId="4" xfId="0" applyFill="1" applyBorder="1" applyAlignment="1">
      <alignment horizontal="center"/>
    </xf>
    <xf numFmtId="0" fontId="42" fillId="65" borderId="4" xfId="0" applyFont="1" applyFill="1" applyBorder="1" applyAlignment="1">
      <alignment horizontal="center"/>
    </xf>
    <xf numFmtId="9" fontId="0" fillId="65" borderId="4" xfId="1" applyFont="1" applyFill="1" applyBorder="1" applyAlignment="1">
      <alignment horizontal="center"/>
    </xf>
    <xf numFmtId="0" fontId="42" fillId="59" borderId="0" xfId="0" applyFont="1" applyFill="1"/>
    <xf numFmtId="0" fontId="43" fillId="0" borderId="0" xfId="0" applyFont="1"/>
    <xf numFmtId="0" fontId="2" fillId="0" borderId="58" xfId="10" applyBorder="1" applyAlignment="1">
      <alignment horizontal="center" vertical="center"/>
    </xf>
    <xf numFmtId="0" fontId="2" fillId="0" borderId="4" xfId="10" applyAlignment="1">
      <alignment horizontal="left" vertical="center"/>
    </xf>
    <xf numFmtId="165" fontId="66" fillId="52" borderId="59" xfId="7" applyNumberFormat="1" applyFont="1" applyFill="1" applyBorder="1" applyAlignment="1">
      <alignment horizontal="center" vertical="center"/>
    </xf>
    <xf numFmtId="165" fontId="45" fillId="53" borderId="59" xfId="7" applyNumberFormat="1" applyFont="1" applyFill="1" applyBorder="1" applyAlignment="1">
      <alignment horizontal="center" vertical="center"/>
    </xf>
    <xf numFmtId="44" fontId="74" fillId="29" borderId="61" xfId="8" applyFont="1" applyFill="1" applyBorder="1" applyAlignment="1">
      <alignment vertical="center"/>
    </xf>
    <xf numFmtId="44" fontId="75" fillId="36" borderId="61" xfId="8" applyFont="1" applyFill="1" applyBorder="1" applyAlignment="1">
      <alignment vertical="center"/>
    </xf>
    <xf numFmtId="167" fontId="76" fillId="14" borderId="5" xfId="10" applyNumberFormat="1" applyFont="1" applyFill="1" applyBorder="1" applyAlignment="1">
      <alignment vertical="center"/>
    </xf>
    <xf numFmtId="4" fontId="60" fillId="66" borderId="5" xfId="10" applyNumberFormat="1" applyFont="1" applyFill="1" applyBorder="1" applyAlignment="1">
      <alignment vertical="center"/>
    </xf>
    <xf numFmtId="167" fontId="60" fillId="66" borderId="5" xfId="10" applyNumberFormat="1" applyFont="1" applyFill="1" applyBorder="1" applyAlignment="1">
      <alignment vertical="center"/>
    </xf>
    <xf numFmtId="4" fontId="63" fillId="66" borderId="5" xfId="10" applyNumberFormat="1" applyFont="1" applyFill="1" applyBorder="1" applyAlignment="1">
      <alignment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right" vertical="center"/>
    </xf>
    <xf numFmtId="0" fontId="18" fillId="3" borderId="24" xfId="0" applyFont="1" applyFill="1" applyBorder="1" applyAlignment="1">
      <alignment horizontal="right" vertical="center"/>
    </xf>
    <xf numFmtId="0" fontId="11" fillId="3" borderId="2" xfId="0" applyFont="1" applyFill="1" applyBorder="1" applyAlignment="1">
      <alignment horizontal="center" vertical="center" textRotation="255"/>
    </xf>
    <xf numFmtId="0" fontId="12" fillId="0" borderId="4" xfId="0" applyFont="1" applyBorder="1"/>
    <xf numFmtId="0" fontId="6" fillId="3" borderId="2" xfId="0" applyFont="1" applyFill="1" applyBorder="1" applyAlignment="1">
      <alignment horizontal="center" vertical="center" textRotation="255"/>
    </xf>
    <xf numFmtId="0" fontId="7" fillId="0" borderId="4" xfId="0" applyFont="1" applyBorder="1"/>
    <xf numFmtId="0" fontId="22" fillId="5" borderId="7" xfId="2" applyFont="1" applyFill="1" applyBorder="1" applyAlignment="1">
      <alignment horizontal="center" vertical="top"/>
    </xf>
    <xf numFmtId="0" fontId="22" fillId="5" borderId="8" xfId="2" applyFont="1" applyFill="1" applyBorder="1" applyAlignment="1">
      <alignment horizontal="center" vertical="top"/>
    </xf>
    <xf numFmtId="0" fontId="13" fillId="8" borderId="6" xfId="0" applyFont="1" applyFill="1" applyBorder="1" applyAlignment="1">
      <alignment horizontal="left" vertical="top"/>
    </xf>
    <xf numFmtId="0" fontId="13" fillId="8" borderId="7" xfId="0" applyFont="1" applyFill="1" applyBorder="1" applyAlignment="1">
      <alignment horizontal="left" vertical="top"/>
    </xf>
    <xf numFmtId="0" fontId="13" fillId="8" borderId="8" xfId="0" applyFont="1" applyFill="1" applyBorder="1" applyAlignment="1">
      <alignment horizontal="left" vertical="top"/>
    </xf>
    <xf numFmtId="4" fontId="68" fillId="66" borderId="72" xfId="10" applyNumberFormat="1" applyFont="1" applyFill="1" applyBorder="1" applyAlignment="1">
      <alignment horizontal="center" vertical="center"/>
    </xf>
    <xf numFmtId="4" fontId="68" fillId="66" borderId="77" xfId="10" applyNumberFormat="1" applyFont="1" applyFill="1" applyBorder="1" applyAlignment="1">
      <alignment horizontal="center" vertical="center"/>
    </xf>
    <xf numFmtId="4" fontId="68" fillId="66" borderId="69" xfId="10" applyNumberFormat="1" applyFont="1" applyFill="1" applyBorder="1" applyAlignment="1">
      <alignment horizontal="center" vertical="center"/>
    </xf>
    <xf numFmtId="0" fontId="42" fillId="0" borderId="68" xfId="0" applyFont="1" applyBorder="1" applyAlignment="1">
      <alignment horizontal="center"/>
    </xf>
    <xf numFmtId="0" fontId="42" fillId="0" borderId="29" xfId="0" applyFont="1" applyBorder="1" applyAlignment="1">
      <alignment horizontal="center"/>
    </xf>
    <xf numFmtId="0" fontId="42" fillId="0" borderId="30" xfId="0" applyFont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65" xfId="0" applyBorder="1" applyAlignment="1">
      <alignment horizontal="center"/>
    </xf>
    <xf numFmtId="0" fontId="5" fillId="0" borderId="9" xfId="4" applyFont="1" applyBorder="1" applyAlignment="1">
      <alignment horizontal="center" vertical="center"/>
    </xf>
    <xf numFmtId="0" fontId="5" fillId="0" borderId="4" xfId="4" applyFont="1" applyAlignment="1">
      <alignment horizontal="center" vertical="center"/>
    </xf>
    <xf numFmtId="0" fontId="6" fillId="0" borderId="9" xfId="4" applyFont="1" applyBorder="1" applyAlignment="1">
      <alignment horizontal="center" vertical="center"/>
    </xf>
    <xf numFmtId="0" fontId="6" fillId="0" borderId="4" xfId="4" applyFont="1" applyAlignment="1">
      <alignment horizontal="center" vertical="center"/>
    </xf>
    <xf numFmtId="167" fontId="5" fillId="0" borderId="9" xfId="5" applyNumberFormat="1" applyFont="1" applyFill="1" applyBorder="1" applyAlignment="1">
      <alignment horizontal="center"/>
    </xf>
    <xf numFmtId="167" fontId="5" fillId="0" borderId="10" xfId="5" applyNumberFormat="1" applyFont="1" applyFill="1" applyBorder="1" applyAlignment="1">
      <alignment horizontal="center"/>
    </xf>
    <xf numFmtId="0" fontId="42" fillId="14" borderId="28" xfId="0" applyFont="1" applyFill="1" applyBorder="1" applyAlignment="1">
      <alignment horizontal="center"/>
    </xf>
    <xf numFmtId="0" fontId="42" fillId="14" borderId="29" xfId="0" applyFont="1" applyFill="1" applyBorder="1" applyAlignment="1">
      <alignment horizontal="center"/>
    </xf>
    <xf numFmtId="0" fontId="42" fillId="14" borderId="30" xfId="0" applyFont="1" applyFill="1" applyBorder="1" applyAlignment="1">
      <alignment horizontal="center"/>
    </xf>
    <xf numFmtId="0" fontId="42" fillId="0" borderId="71" xfId="0" applyFont="1" applyBorder="1" applyAlignment="1">
      <alignment horizontal="center"/>
    </xf>
    <xf numFmtId="0" fontId="42" fillId="0" borderId="28" xfId="0" applyFont="1" applyBorder="1" applyAlignment="1">
      <alignment horizontal="center"/>
    </xf>
    <xf numFmtId="0" fontId="17" fillId="65" borderId="51" xfId="0" applyFont="1" applyFill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5" fillId="0" borderId="10" xfId="4" applyFont="1" applyBorder="1" applyAlignment="1">
      <alignment horizontal="center" vertical="center"/>
    </xf>
    <xf numFmtId="0" fontId="42" fillId="0" borderId="9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10" xfId="0" applyFont="1" applyBorder="1" applyAlignment="1">
      <alignment horizontal="center"/>
    </xf>
  </cellXfs>
  <cellStyles count="12">
    <cellStyle name="Hiperlink" xfId="2" builtinId="8"/>
    <cellStyle name="Moeda" xfId="3" builtinId="4"/>
    <cellStyle name="Moeda 2" xfId="5" xr:uid="{3AF2C346-04D8-4E89-9497-83DB97116358}"/>
    <cellStyle name="Moeda 3" xfId="8" xr:uid="{38BCF20A-8C39-4C43-B9B9-D708453E0D8E}"/>
    <cellStyle name="Moeda 4" xfId="11" xr:uid="{F3EA4D92-BC21-47FB-B682-5D230BE802D9}"/>
    <cellStyle name="Normal" xfId="0" builtinId="0"/>
    <cellStyle name="Normal 2" xfId="4" xr:uid="{52F182E7-3F7B-468F-A905-35C1302ED136}"/>
    <cellStyle name="Normal 3" xfId="7" xr:uid="{6E95BAE3-2833-4DA7-8B7B-24631B4742F8}"/>
    <cellStyle name="Normal 4" xfId="10" xr:uid="{4916B45B-278C-495F-BEC5-BB3A73936105}"/>
    <cellStyle name="Porcentagem" xfId="1" builtinId="5"/>
    <cellStyle name="Porcentagem 2" xfId="6" xr:uid="{72C28626-54D8-464B-9412-246AF14096BD}"/>
    <cellStyle name="Porcentagem 3" xfId="9" xr:uid="{6AFBA8E2-4FA2-4211-8816-4DED45D476FD}"/>
  </cellStyles>
  <dxfs count="61"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5" formatCode="_-[$R$-416]\ * #,##0.00_-;\-[$R$-416]\ * #,##0.00_-;_-[$R$-416]\ * &quot;-&quot;??_-;_-@_-"/>
      <border diagonalUp="0" diagonalDown="0" outline="0">
        <left style="thin">
          <color rgb="FFFFB9B9"/>
        </left>
        <right/>
        <top style="thin">
          <color rgb="FFFFB9B9"/>
        </top>
        <bottom style="thin">
          <color rgb="FFFFB9B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rgb="FFFFB9B9"/>
        </left>
        <right style="thin">
          <color rgb="FFFFB9B9"/>
        </right>
        <top style="thin">
          <color rgb="FFFFB9B9"/>
        </top>
        <bottom style="thin">
          <color rgb="FFFFB9B9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border diagonalUp="0" diagonalDown="0" outline="0">
        <left style="thin">
          <color rgb="FFFFB9B9"/>
        </left>
        <right style="thin">
          <color rgb="FFFFB9B9"/>
        </right>
        <top style="thin">
          <color rgb="FFFFB9B9"/>
        </top>
        <bottom style="thin">
          <color rgb="FFFFB9B9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rgb="FFFFB9B9"/>
        </right>
        <top style="thin">
          <color rgb="FFFFB9B9"/>
        </top>
        <bottom style="thin">
          <color rgb="FFFFB9B9"/>
        </bottom>
      </border>
    </dxf>
    <dxf>
      <border>
        <top style="thin">
          <color rgb="FFFFB9B9"/>
        </top>
      </border>
    </dxf>
    <dxf>
      <border diagonalUp="0" diagonalDown="0">
        <left style="thin">
          <color rgb="FFFFB9B9"/>
        </left>
        <right style="thin">
          <color rgb="FFFFB9B9"/>
        </right>
        <top style="thin">
          <color rgb="FFFFB9B9"/>
        </top>
        <bottom style="thin">
          <color rgb="FFFFB9B9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</dxf>
    <dxf>
      <border>
        <bottom style="thin">
          <color rgb="FFFFB9B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solid">
          <fgColor indexed="64"/>
          <bgColor rgb="FF7600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FFB9B9"/>
        </left>
        <right style="thin">
          <color rgb="FFFFB9B9"/>
        </right>
        <top/>
        <bottom/>
        <vertical style="thin">
          <color rgb="FFFFB9B9"/>
        </vertical>
        <horizontal style="thin">
          <color rgb="FFFFB9B9"/>
        </horizontal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5" formatCode="_-[$R$-416]\ * #,##0.00_-;\-[$R$-416]\ * #,##0.00_-;_-[$R$-416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color rgb="FF9C0006"/>
      </font>
      <fill>
        <patternFill patternType="solid">
          <bgColor rgb="FFF2DBDB"/>
        </patternFill>
      </fill>
    </dxf>
    <dxf>
      <font>
        <color rgb="FF76923C"/>
      </font>
      <fill>
        <patternFill patternType="solid">
          <fgColor rgb="FFF2DBDB"/>
          <bgColor rgb="FFF2DBDB"/>
        </patternFill>
      </fill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  <dxf>
      <font>
        <color rgb="FFC00000"/>
      </font>
    </dxf>
    <dxf>
      <font>
        <color theme="9"/>
      </font>
    </dxf>
  </dxfs>
  <tableStyles count="0" defaultTableStyle="TableStyleMedium2" defaultPivotStyle="PivotStyleLight16"/>
  <colors>
    <mruColors>
      <color rgb="FF760000"/>
      <color rgb="FFA5A5A5"/>
      <color rgb="FFCC9900"/>
      <color rgb="FFE5B5B5"/>
      <color rgb="FFFFFF99"/>
      <color rgb="FFF2DBDB"/>
      <color rgb="FFDBE5F1"/>
      <color rgb="FFFFCCCC"/>
      <color rgb="FFFFB9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10397553516819572"/>
          <c:y val="7.8782475213409156E-2"/>
          <c:w val="0.78283079293987334"/>
          <c:h val="0.87428868966402884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'Orçado x Realizado'!$D$14</c:f>
              <c:strCache>
                <c:ptCount val="1"/>
                <c:pt idx="0">
                  <c:v>Orçado</c:v>
                </c:pt>
              </c:strCache>
            </c:strRef>
          </c:tx>
          <c:spPr>
            <a:solidFill>
              <a:srgbClr val="ED7D3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'Orçado x Realizado'!$C$15:$C$16</c:f>
              <c:strCache>
                <c:ptCount val="2"/>
                <c:pt idx="0">
                  <c:v>Receitas totais</c:v>
                </c:pt>
                <c:pt idx="1">
                  <c:v>Despesas totais</c:v>
                </c:pt>
              </c:strCache>
            </c:strRef>
          </c:cat>
          <c:val>
            <c:numRef>
              <c:f>'Orçado x Realizado'!$D$15:$D$16</c:f>
              <c:numCache>
                <c:formatCode>"R$"\ #,##0.00</c:formatCode>
                <c:ptCount val="2"/>
                <c:pt idx="0">
                  <c:v>167948.11</c:v>
                </c:pt>
                <c:pt idx="1">
                  <c:v>-156258.96931850002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F-4E90-A058-A57B5A82C4F1}"/>
            </c:ext>
          </c:extLst>
        </c:ser>
        <c:ser>
          <c:idx val="1"/>
          <c:order val="1"/>
          <c:tx>
            <c:strRef>
              <c:f>'Orçado x Realizado'!$E$14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2594-4E99-A9FA-FFFF54D931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'Orçado x Realizado'!$C$15:$C$16</c:f>
              <c:strCache>
                <c:ptCount val="2"/>
                <c:pt idx="0">
                  <c:v>Receitas totais</c:v>
                </c:pt>
                <c:pt idx="1">
                  <c:v>Despesas totais</c:v>
                </c:pt>
              </c:strCache>
            </c:strRef>
          </c:cat>
          <c:val>
            <c:numRef>
              <c:f>'Orçado x Realizado'!$E$15:$E$16</c:f>
              <c:numCache>
                <c:formatCode>"R$"\ #,##0.00</c:formatCode>
                <c:ptCount val="2"/>
                <c:pt idx="0">
                  <c:v>69540.459999999992</c:v>
                </c:pt>
                <c:pt idx="1">
                  <c:v>-100445.04000000001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F-4E90-A058-A57B5A82C4F1}"/>
            </c:ext>
          </c:extLst>
        </c:ser>
        <c:ser>
          <c:idx val="2"/>
          <c:order val="2"/>
          <c:tx>
            <c:strRef>
              <c:f>'Orçado x Realizado'!$F$14</c:f>
              <c:strCache>
                <c:ptCount val="1"/>
                <c:pt idx="0">
                  <c:v>Resultado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'Orçado x Realizado'!$C$15:$C$16</c:f>
              <c:strCache>
                <c:ptCount val="2"/>
                <c:pt idx="0">
                  <c:v>Receitas totais</c:v>
                </c:pt>
                <c:pt idx="1">
                  <c:v>Despesas totais</c:v>
                </c:pt>
              </c:strCache>
            </c:strRef>
          </c:cat>
          <c:val>
            <c:numRef>
              <c:f>'Orçado x Realizado'!$F$15:$F$16</c:f>
              <c:numCache>
                <c:formatCode>"R$"\ #,##0.00</c:formatCode>
                <c:ptCount val="2"/>
                <c:pt idx="0">
                  <c:v>-98407.65</c:v>
                </c:pt>
                <c:pt idx="1">
                  <c:v>55813.929318500013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F-44F0-A809-6620F080AD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57992329"/>
        <c:axId val="1388144510"/>
      </c:barChart>
      <c:catAx>
        <c:axId val="2057992329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388144510"/>
        <c:crosses val="autoZero"/>
        <c:auto val="1"/>
        <c:lblAlgn val="ctr"/>
        <c:lblOffset val="100"/>
        <c:noMultiLvlLbl val="1"/>
      </c:catAx>
      <c:valAx>
        <c:axId val="1388144510"/>
        <c:scaling>
          <c:orientation val="minMax"/>
        </c:scaling>
        <c:delete val="1"/>
        <c:axPos val="b"/>
        <c:numFmt formatCode="&quot;R$&quot;\ #,##0.00" sourceLinked="1"/>
        <c:majorTickMark val="none"/>
        <c:minorTickMark val="none"/>
        <c:tickLblPos val="nextTo"/>
        <c:crossAx val="2057992329"/>
        <c:crosses val="max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90359816001756399"/>
          <c:y val="0.33152529415541682"/>
          <c:w val="7.1751615615468181E-2"/>
          <c:h val="0.33663012896753225"/>
        </c:manualLayout>
      </c:layout>
      <c:overlay val="0"/>
      <c:txPr>
        <a:bodyPr/>
        <a:lstStyle/>
        <a:p>
          <a:pPr>
            <a:defRPr sz="800"/>
          </a:pPr>
          <a:endParaRPr lang="pt-BR"/>
        </a:p>
      </c:txPr>
    </c:legend>
    <c:plotVisOnly val="1"/>
    <c:dispBlanksAs val="zero"/>
    <c:showDLblsOverMax val="1"/>
  </c:chart>
  <c:spPr>
    <a:noFill/>
    <a:ln>
      <a:solidFill>
        <a:schemeClr val="bg2"/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Or&#231;ado x Realizado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Or&#231;ado x Realizado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145912</xdr:colOff>
      <xdr:row>2</xdr:row>
      <xdr:rowOff>162478</xdr:rowOff>
    </xdr:from>
    <xdr:to>
      <xdr:col>8</xdr:col>
      <xdr:colOff>1524000</xdr:colOff>
      <xdr:row>6</xdr:row>
      <xdr:rowOff>161236</xdr:rowOff>
    </xdr:to>
    <xdr:sp macro="" textlink="">
      <xdr:nvSpPr>
        <xdr:cNvPr id="11" name="Retângulo: Cantos Arredondados 10">
          <a:extLst>
            <a:ext uri="{FF2B5EF4-FFF2-40B4-BE49-F238E27FC236}">
              <a16:creationId xmlns:a16="http://schemas.microsoft.com/office/drawing/2014/main" id="{E5F54C33-3F86-4DD7-B49A-1F2B89353760}"/>
            </a:ext>
          </a:extLst>
        </xdr:cNvPr>
        <xdr:cNvSpPr/>
      </xdr:nvSpPr>
      <xdr:spPr>
        <a:xfrm>
          <a:off x="286716" y="767108"/>
          <a:ext cx="7797110" cy="793889"/>
        </a:xfrm>
        <a:prstGeom prst="roundRect">
          <a:avLst/>
        </a:prstGeom>
        <a:solidFill>
          <a:srgbClr val="DBE5F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0</xdr:col>
      <xdr:colOff>140096</xdr:colOff>
      <xdr:row>0</xdr:row>
      <xdr:rowOff>94458</xdr:rowOff>
    </xdr:from>
    <xdr:ext cx="796131" cy="196148"/>
    <xdr:pic>
      <xdr:nvPicPr>
        <xdr:cNvPr id="3" name="image5.png" title="Image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096" y="94458"/>
          <a:ext cx="796131" cy="19614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1935645</xdr:colOff>
      <xdr:row>9</xdr:row>
      <xdr:rowOff>80901</xdr:rowOff>
    </xdr:from>
    <xdr:to>
      <xdr:col>8</xdr:col>
      <xdr:colOff>2240446</xdr:colOff>
      <xdr:row>11</xdr:row>
      <xdr:rowOff>107872</xdr:rowOff>
    </xdr:to>
    <xdr:pic>
      <xdr:nvPicPr>
        <xdr:cNvPr id="6" name="Picture 6" descr="Logo CVX Brasil_site_1 – CVX Brasil">
          <a:extLst>
            <a:ext uri="{FF2B5EF4-FFF2-40B4-BE49-F238E27FC236}">
              <a16:creationId xmlns:a16="http://schemas.microsoft.com/office/drawing/2014/main" id="{E52563D4-A2D1-4ACF-BAFB-449098C10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36"/>
        <a:stretch/>
      </xdr:blipFill>
      <xdr:spPr bwMode="auto">
        <a:xfrm>
          <a:off x="8478906" y="2077010"/>
          <a:ext cx="307976" cy="421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134178</xdr:colOff>
      <xdr:row>68</xdr:row>
      <xdr:rowOff>85444</xdr:rowOff>
    </xdr:from>
    <xdr:to>
      <xdr:col>9</xdr:col>
      <xdr:colOff>2027</xdr:colOff>
      <xdr:row>76</xdr:row>
      <xdr:rowOff>31198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1DF8339-33D5-4705-B572-B06CE301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77439" y="13354183"/>
          <a:ext cx="2924132" cy="1405426"/>
        </a:xfrm>
        <a:prstGeom prst="rect">
          <a:avLst/>
        </a:prstGeom>
      </xdr:spPr>
    </xdr:pic>
    <xdr:clientData/>
  </xdr:twoCellAnchor>
  <xdr:twoCellAnchor editAs="oneCell">
    <xdr:from>
      <xdr:col>8</xdr:col>
      <xdr:colOff>84068</xdr:colOff>
      <xdr:row>51</xdr:row>
      <xdr:rowOff>6856</xdr:rowOff>
    </xdr:from>
    <xdr:to>
      <xdr:col>9</xdr:col>
      <xdr:colOff>1021236</xdr:colOff>
      <xdr:row>66</xdr:row>
      <xdr:rowOff>140804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9FEFB6E-CABD-4750-897E-7AE76D6E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7329" y="10037095"/>
          <a:ext cx="3993451" cy="2991448"/>
        </a:xfrm>
        <a:prstGeom prst="rect">
          <a:avLst/>
        </a:prstGeom>
      </xdr:spPr>
    </xdr:pic>
    <xdr:clientData/>
  </xdr:twoCellAnchor>
  <xdr:twoCellAnchor>
    <xdr:from>
      <xdr:col>1</xdr:col>
      <xdr:colOff>145912</xdr:colOff>
      <xdr:row>7</xdr:row>
      <xdr:rowOff>35064</xdr:rowOff>
    </xdr:from>
    <xdr:to>
      <xdr:col>8</xdr:col>
      <xdr:colOff>1524000</xdr:colOff>
      <xdr:row>11</xdr:row>
      <xdr:rowOff>40172</xdr:rowOff>
    </xdr:to>
    <xdr:sp macro="" textlink="">
      <xdr:nvSpPr>
        <xdr:cNvPr id="14" name="Retângulo: Cantos Arredondados 13">
          <a:extLst>
            <a:ext uri="{FF2B5EF4-FFF2-40B4-BE49-F238E27FC236}">
              <a16:creationId xmlns:a16="http://schemas.microsoft.com/office/drawing/2014/main" id="{EAFF8B0A-6110-4013-B99C-AF350E6D2D3D}"/>
            </a:ext>
          </a:extLst>
        </xdr:cNvPr>
        <xdr:cNvSpPr/>
      </xdr:nvSpPr>
      <xdr:spPr>
        <a:xfrm>
          <a:off x="286716" y="1633607"/>
          <a:ext cx="7797110" cy="800239"/>
        </a:xfrm>
        <a:prstGeom prst="roundRect">
          <a:avLst/>
        </a:prstGeom>
        <a:solidFill>
          <a:srgbClr val="F2DBD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8</xdr:col>
      <xdr:colOff>82825</xdr:colOff>
      <xdr:row>80</xdr:row>
      <xdr:rowOff>74543</xdr:rowOff>
    </xdr:from>
    <xdr:to>
      <xdr:col>9</xdr:col>
      <xdr:colOff>221696</xdr:colOff>
      <xdr:row>85</xdr:row>
      <xdr:rowOff>164060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C7BAB49-F02F-4959-ABC9-624448B0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26086" y="15554739"/>
          <a:ext cx="3188804" cy="1083430"/>
        </a:xfrm>
        <a:prstGeom prst="rect">
          <a:avLst/>
        </a:prstGeom>
      </xdr:spPr>
    </xdr:pic>
    <xdr:clientData/>
  </xdr:twoCellAnchor>
  <xdr:twoCellAnchor editAs="oneCell">
    <xdr:from>
      <xdr:col>9</xdr:col>
      <xdr:colOff>126173</xdr:colOff>
      <xdr:row>68</xdr:row>
      <xdr:rowOff>42853</xdr:rowOff>
    </xdr:from>
    <xdr:to>
      <xdr:col>12</xdr:col>
      <xdr:colOff>104500</xdr:colOff>
      <xdr:row>79</xdr:row>
      <xdr:rowOff>67248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A84C662E-FDE6-404E-BC2B-18E3AC7B2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5716" y="13311592"/>
          <a:ext cx="2817329" cy="2030719"/>
        </a:xfrm>
        <a:prstGeom prst="rect">
          <a:avLst/>
        </a:prstGeom>
      </xdr:spPr>
    </xdr:pic>
    <xdr:clientData/>
  </xdr:twoCellAnchor>
  <xdr:oneCellAnchor>
    <xdr:from>
      <xdr:col>1</xdr:col>
      <xdr:colOff>76199</xdr:colOff>
      <xdr:row>1</xdr:row>
      <xdr:rowOff>187721</xdr:rowOff>
    </xdr:from>
    <xdr:ext cx="8695083" cy="1993504"/>
    <xdr:graphicFrame macro="">
      <xdr:nvGraphicFramePr>
        <xdr:cNvPr id="2" name="Chart 1" title="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0.0158</cdr:x>
      <cdr:y>0.10526</cdr:y>
    </cdr:from>
    <cdr:to>
      <cdr:x>0.12589</cdr:x>
      <cdr:y>0.56395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C07DA4A7-8D37-4802-99C2-03C4ACE7319D}"/>
            </a:ext>
          </a:extLst>
        </cdr:cNvPr>
        <cdr:cNvSpPr txBox="1"/>
      </cdr:nvSpPr>
      <cdr:spPr>
        <a:xfrm xmlns:a="http://schemas.openxmlformats.org/drawingml/2006/main">
          <a:off x="137387" y="209844"/>
          <a:ext cx="957256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1000" b="1">
              <a:solidFill>
                <a:srgbClr val="002060"/>
              </a:solidFill>
            </a:rPr>
            <a:t>Receitas</a:t>
          </a:r>
        </a:p>
      </cdr:txBody>
    </cdr:sp>
  </cdr:relSizeAnchor>
  <cdr:relSizeAnchor xmlns:cdr="http://schemas.openxmlformats.org/drawingml/2006/chartDrawing">
    <cdr:from>
      <cdr:x>0.01726</cdr:x>
      <cdr:y>0.54547</cdr:y>
    </cdr:from>
    <cdr:to>
      <cdr:x>0.12736</cdr:x>
      <cdr:y>0.6994</cdr:y>
    </cdr:to>
    <cdr:sp macro="" textlink="">
      <cdr:nvSpPr>
        <cdr:cNvPr id="3" name="CaixaDeTexto 1">
          <a:extLst xmlns:a="http://schemas.openxmlformats.org/drawingml/2006/main">
            <a:ext uri="{FF2B5EF4-FFF2-40B4-BE49-F238E27FC236}">
              <a16:creationId xmlns:a16="http://schemas.microsoft.com/office/drawing/2014/main" id="{5F3324E9-C5E5-497E-9E5F-343C85F07DCC}"/>
            </a:ext>
          </a:extLst>
        </cdr:cNvPr>
        <cdr:cNvSpPr txBox="1"/>
      </cdr:nvSpPr>
      <cdr:spPr>
        <a:xfrm xmlns:a="http://schemas.openxmlformats.org/drawingml/2006/main">
          <a:off x="150112" y="1087388"/>
          <a:ext cx="957257" cy="306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000" b="1">
              <a:solidFill>
                <a:srgbClr val="760000"/>
              </a:solidFill>
            </a:rPr>
            <a:t>Despesas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168275</xdr:colOff>
      <xdr:row>0</xdr:row>
      <xdr:rowOff>63500</xdr:rowOff>
    </xdr:from>
    <xdr:to>
      <xdr:col>5</xdr:col>
      <xdr:colOff>1202187</xdr:colOff>
      <xdr:row>7</xdr:row>
      <xdr:rowOff>64025</xdr:rowOff>
    </xdr:to>
    <xdr:pic>
      <xdr:nvPicPr>
        <xdr:cNvPr id="2" name="Picture 6" descr="Logo CVX Brasil_site_1 – CVX Brasi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DB67A7-E30D-4734-94B1-DC7497CDEA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36"/>
        <a:stretch/>
      </xdr:blipFill>
      <xdr:spPr bwMode="auto">
        <a:xfrm>
          <a:off x="9845675" y="63500"/>
          <a:ext cx="1033912" cy="140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168275</xdr:colOff>
      <xdr:row>0</xdr:row>
      <xdr:rowOff>63500</xdr:rowOff>
    </xdr:from>
    <xdr:to>
      <xdr:col>5</xdr:col>
      <xdr:colOff>1199012</xdr:colOff>
      <xdr:row>7</xdr:row>
      <xdr:rowOff>67200</xdr:rowOff>
    </xdr:to>
    <xdr:pic>
      <xdr:nvPicPr>
        <xdr:cNvPr id="2" name="Picture 6" descr="Logo CVX Brasil_site_1 – CVX Brasi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554DB4-D2CB-41F4-8E21-C56B49B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36"/>
        <a:stretch/>
      </xdr:blipFill>
      <xdr:spPr bwMode="auto">
        <a:xfrm>
          <a:off x="9883775" y="66675"/>
          <a:ext cx="1033912" cy="139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2</xdr:row>
      <xdr:rowOff>25853</xdr:rowOff>
    </xdr:from>
    <xdr:to>
      <xdr:col>2</xdr:col>
      <xdr:colOff>1086971</xdr:colOff>
      <xdr:row>8</xdr:row>
      <xdr:rowOff>182467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D26F1E-33FF-4D14-A350-7D59F4C3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028" y="425903"/>
          <a:ext cx="2499393" cy="1229764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</xdr:colOff>
      <xdr:row>11</xdr:row>
      <xdr:rowOff>34925</xdr:rowOff>
    </xdr:from>
    <xdr:to>
      <xdr:col>2</xdr:col>
      <xdr:colOff>1016907</xdr:colOff>
      <xdr:row>14</xdr:row>
      <xdr:rowOff>158751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A8145E-B724-4E3C-8E63-A6280561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028" y="2111375"/>
          <a:ext cx="2429329" cy="714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56029</xdr:colOff>
      <xdr:row>2</xdr:row>
      <xdr:rowOff>58832</xdr:rowOff>
    </xdr:from>
    <xdr:to>
      <xdr:col>2</xdr:col>
      <xdr:colOff>877370</xdr:colOff>
      <xdr:row>8</xdr:row>
      <xdr:rowOff>98424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927ADFE-D956-1F6C-920B-09A496631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967" y="463645"/>
          <a:ext cx="2241432" cy="11349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22224</xdr:colOff>
      <xdr:row>11</xdr:row>
      <xdr:rowOff>6350</xdr:rowOff>
    </xdr:from>
    <xdr:to>
      <xdr:col>6</xdr:col>
      <xdr:colOff>9525</xdr:colOff>
      <xdr:row>17</xdr:row>
      <xdr:rowOff>190500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AE1DF7C-36FD-0025-3EDF-CAD214F0F234}"/>
            </a:ext>
          </a:extLst>
        </xdr:cNvPr>
        <xdr:cNvSpPr/>
      </xdr:nvSpPr>
      <xdr:spPr>
        <a:xfrm>
          <a:off x="955674" y="2206625"/>
          <a:ext cx="1701801" cy="1384300"/>
        </a:xfrm>
        <a:prstGeom prst="rect">
          <a:avLst/>
        </a:prstGeom>
        <a:solidFill>
          <a:srgbClr val="A5A5A5">
            <a:alpha val="69804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pt-BR" sz="700" b="1"/>
        </a:p>
      </xdr:txBody>
    </xdr:sp>
    <xdr:clientData/>
  </xdr:twoCellAnchor>
  <xdr:twoCellAnchor>
    <xdr:from>
      <xdr:col>6</xdr:col>
      <xdr:colOff>8547</xdr:colOff>
      <xdr:row>11</xdr:row>
      <xdr:rowOff>6350</xdr:rowOff>
    </xdr:from>
    <xdr:to>
      <xdr:col>9</xdr:col>
      <xdr:colOff>424962</xdr:colOff>
      <xdr:row>17</xdr:row>
      <xdr:rowOff>190500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27D98F5-F768-4C1B-AA37-5DF5306308A3}"/>
            </a:ext>
          </a:extLst>
        </xdr:cNvPr>
        <xdr:cNvSpPr/>
      </xdr:nvSpPr>
      <xdr:spPr>
        <a:xfrm>
          <a:off x="2668220" y="2182446"/>
          <a:ext cx="1713280" cy="1371112"/>
        </a:xfrm>
        <a:prstGeom prst="rect">
          <a:avLst/>
        </a:prstGeom>
        <a:solidFill>
          <a:srgbClr val="A5A5A5">
            <a:alpha val="69804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pt-BR" sz="7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2</xdr:row>
      <xdr:rowOff>25853</xdr:rowOff>
    </xdr:from>
    <xdr:to>
      <xdr:col>2</xdr:col>
      <xdr:colOff>1086971</xdr:colOff>
      <xdr:row>8</xdr:row>
      <xdr:rowOff>179292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DD0D858-C803-8945-6D1D-2AC8BB60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475" y="429265"/>
          <a:ext cx="2504996" cy="1243585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</xdr:colOff>
      <xdr:row>11</xdr:row>
      <xdr:rowOff>34925</xdr:rowOff>
    </xdr:from>
    <xdr:to>
      <xdr:col>2</xdr:col>
      <xdr:colOff>1020082</xdr:colOff>
      <xdr:row>14</xdr:row>
      <xdr:rowOff>161926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580B29D-B82A-974D-1716-C37171C27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914" y="1912711"/>
          <a:ext cx="2438400" cy="7279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2</xdr:row>
      <xdr:rowOff>25853</xdr:rowOff>
    </xdr:from>
    <xdr:to>
      <xdr:col>2</xdr:col>
      <xdr:colOff>1086971</xdr:colOff>
      <xdr:row>8</xdr:row>
      <xdr:rowOff>182467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1F9787C-9D2A-4BD1-B3A9-EC2D838F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028" y="429078"/>
          <a:ext cx="2499393" cy="1226589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</xdr:colOff>
      <xdr:row>11</xdr:row>
      <xdr:rowOff>34925</xdr:rowOff>
    </xdr:from>
    <xdr:to>
      <xdr:col>2</xdr:col>
      <xdr:colOff>1016907</xdr:colOff>
      <xdr:row>14</xdr:row>
      <xdr:rowOff>158751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38129EB-4319-4909-AD6C-3F22AB839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028" y="2111375"/>
          <a:ext cx="2432504" cy="72707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afael Riva Finatti" id="{B138EC32-CD86-44D9-A841-CA376C49DDE4}" userId="S::rafael.finatti@grupomarista.org.br::2e8db1ba-8bf1-469a-a7ea-3ee90291cc9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AB3E3A-B9BC-4544-B568-719FD522D4FC}" name="Tabela1" displayName="Tabela1" ref="B1:E46" totalsRowShown="0" headerRowDxfId="14" dataDxfId="13">
  <autoFilter ref="B1:E46" xr:uid="{56AB3E3A-B9BC-4544-B568-719FD522D4FC}"/>
  <tableColumns count="4">
    <tableColumn id="1" xr3:uid="{8089A14F-0114-4674-94A5-D70CC841309B}" name="Data" dataDxfId="12"/>
    <tableColumn id="2" xr3:uid="{1E388DCE-2265-472E-B22D-BAD34DC3B163}" name="Categoria Receita" dataDxfId="11"/>
    <tableColumn id="5" xr3:uid="{86771BB7-9613-40EF-9098-4D7146605469}" name="Descrição Receita" dataDxfId="10"/>
    <tableColumn id="4" xr3:uid="{534B6F20-03DF-418C-92A1-9F4FE6569DD7}" name="Valor" dataDxfId="9" dataCellStyle="Porcentage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2B3A318-BE33-48C0-A955-DD988CE3AE06}" name="Tabela13" displayName="Tabela13" ref="B1:E51" totalsRowShown="0" headerRowDxfId="8" dataDxfId="6" headerRowBorderDxfId="7" tableBorderDxfId="5" totalsRowBorderDxfId="4">
  <autoFilter ref="B1:E51" xr:uid="{56AB3E3A-B9BC-4544-B568-719FD522D4FC}"/>
  <tableColumns count="4">
    <tableColumn id="1" xr3:uid="{70B86538-69CE-47E3-B2E0-138ADF5739B0}" name="Data" dataDxfId="3"/>
    <tableColumn id="2" xr3:uid="{B5B20E8E-962B-4A32-B176-E0F099DD82D6}" name="Categoria Despesa" dataDxfId="2"/>
    <tableColumn id="5" xr3:uid="{279BDD18-7496-4C12-9592-D75FFC7568A2}" name="Descrição Despesa" dataDxfId="1"/>
    <tableColumn id="4" xr3:uid="{416454DE-7247-4B80-A4E8-2F1F26818402}" name="Valor" dataDxfId="0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36" dT="2022-07-13T02:42:07.26" personId="{B138EC32-CD86-44D9-A841-CA376C49DDE4}" id="{E52F56C0-8959-4381-8F8E-6AA9FB4BEE0F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36" dT="2022-07-13T02:42:07.26" personId="{B138EC32-CD86-44D9-A841-CA376C49DDE4}" id="{3C1C22AC-ED6C-4C85-923F-F56E465623A6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36" dT="2022-07-13T02:42:07.26" personId="{B138EC32-CD86-44D9-A841-CA376C49DDE4}" id="{A605BF25-FCCF-4FE1-82B4-DEAF528B0C08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H36" dT="2022-07-13T02:42:07.26" personId="{B138EC32-CD86-44D9-A841-CA376C49DDE4}" id="{FFAFAA21-3C44-4CA0-89A2-43DA6025B390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H36" dT="2022-07-13T02:42:07.26" personId="{B138EC32-CD86-44D9-A841-CA376C49DDE4}" id="{5D59DE1F-8919-4072-B8E1-DFF6C5731F42}">
    <text>1) 500 dólares da etapa online (total) = 2500 reais
2) 600 dólares das etapas 2023 (presencial + online) para cada um dos 5 que pediram apoio = 15000 reais
3) 6500 reais para a organização da etapa presencial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8.xml"/><Relationship Id="rId4" Type="http://schemas.microsoft.com/office/2017/10/relationships/threadedComment" Target="../threadedComments/threadedComment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499984740745262"/>
  </sheetPr>
  <dimension ref="A1:O1003"/>
  <sheetViews>
    <sheetView zoomScale="70" zoomScaleNormal="70" workbookViewId="0">
      <pane ySplit="14" topLeftCell="A15" activePane="bottomLeft" state="frozen"/>
      <selection pane="bottomLeft" activeCell="O35" sqref="O35"/>
    </sheetView>
  </sheetViews>
  <sheetFormatPr defaultColWidth="11.25" defaultRowHeight="15" customHeight="1" x14ac:dyDescent="0.35"/>
  <cols>
    <col min="1" max="1" width="1.83203125" customWidth="1"/>
    <col min="2" max="2" width="34.83203125" bestFit="1" customWidth="1"/>
    <col min="3" max="3" width="4.83203125" customWidth="1"/>
    <col min="4" max="4" width="13.25" bestFit="1" customWidth="1"/>
    <col min="5" max="5" width="11.6640625" bestFit="1" customWidth="1"/>
    <col min="6" max="6" width="12.1640625" bestFit="1" customWidth="1"/>
    <col min="7" max="7" width="5.25" bestFit="1" customWidth="1"/>
    <col min="8" max="8" width="2.08203125" customWidth="1"/>
    <col min="9" max="9" width="40.1640625" bestFit="1" customWidth="1"/>
    <col min="10" max="10" width="13.58203125" bestFit="1" customWidth="1"/>
    <col min="11" max="11" width="11.4140625" bestFit="1" customWidth="1"/>
    <col min="12" max="13" width="12.1640625" bestFit="1" customWidth="1"/>
    <col min="14" max="14" width="5.33203125" bestFit="1" customWidth="1"/>
  </cols>
  <sheetData>
    <row r="1" spans="1:15" ht="32.5" customHeight="1" x14ac:dyDescent="0.35">
      <c r="A1" s="503" t="s">
        <v>415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5"/>
    </row>
    <row r="2" spans="1:15" ht="15.5" x14ac:dyDescent="0.35">
      <c r="A2" s="5"/>
      <c r="B2" s="1"/>
      <c r="C2" s="7"/>
      <c r="D2" s="1"/>
      <c r="E2" s="1"/>
      <c r="F2" s="1"/>
      <c r="G2" s="7"/>
      <c r="H2" s="1"/>
      <c r="I2" s="1"/>
      <c r="J2" s="5"/>
      <c r="K2" s="5"/>
      <c r="L2" s="5"/>
      <c r="M2" s="68"/>
      <c r="N2" s="5"/>
    </row>
    <row r="3" spans="1:15" ht="15.5" x14ac:dyDescent="0.35">
      <c r="A3" s="5"/>
      <c r="B3" s="1"/>
      <c r="C3" s="7"/>
      <c r="D3" s="1"/>
      <c r="E3" s="1"/>
      <c r="F3" s="1"/>
      <c r="G3" s="7"/>
      <c r="H3" s="1"/>
      <c r="I3" s="1"/>
      <c r="J3" s="5"/>
      <c r="K3" s="5"/>
      <c r="L3" s="5"/>
      <c r="M3" s="68"/>
      <c r="N3" s="5"/>
    </row>
    <row r="4" spans="1:15" ht="15.5" x14ac:dyDescent="0.35">
      <c r="A4" s="5"/>
      <c r="B4" s="1"/>
      <c r="C4" s="7"/>
      <c r="D4" s="1"/>
      <c r="E4" s="1"/>
      <c r="F4" s="1"/>
      <c r="G4" s="7"/>
      <c r="H4" s="1"/>
      <c r="I4" s="1"/>
      <c r="J4" s="5"/>
      <c r="K4" s="5"/>
      <c r="L4" s="5"/>
      <c r="M4" s="68"/>
      <c r="N4" s="5"/>
    </row>
    <row r="5" spans="1:15" ht="15.5" x14ac:dyDescent="0.35">
      <c r="A5" s="5"/>
      <c r="B5" s="1"/>
      <c r="C5" s="7"/>
      <c r="D5" s="1"/>
      <c r="E5" s="1"/>
      <c r="F5" s="1"/>
      <c r="G5" s="7"/>
      <c r="H5" s="1"/>
      <c r="I5" s="1"/>
      <c r="J5" s="5"/>
      <c r="K5" s="5"/>
      <c r="L5" s="5"/>
      <c r="M5" s="68"/>
      <c r="N5" s="5"/>
    </row>
    <row r="6" spans="1:15" ht="15.5" x14ac:dyDescent="0.35">
      <c r="A6" s="5"/>
      <c r="B6" s="1"/>
      <c r="C6" s="7"/>
      <c r="D6" s="1"/>
      <c r="E6" s="1"/>
      <c r="F6" s="1"/>
      <c r="G6" s="7"/>
      <c r="H6" s="1"/>
      <c r="I6" s="1"/>
      <c r="J6" s="5"/>
      <c r="K6" s="5"/>
      <c r="L6" s="5"/>
      <c r="M6" s="68"/>
      <c r="N6" s="5"/>
    </row>
    <row r="7" spans="1:15" ht="15.5" x14ac:dyDescent="0.35">
      <c r="A7" s="5"/>
      <c r="B7" s="1"/>
      <c r="C7" s="7"/>
      <c r="D7" s="1"/>
      <c r="E7" s="1"/>
      <c r="F7" s="1"/>
      <c r="G7" s="7"/>
      <c r="H7" s="1"/>
      <c r="I7" s="1"/>
      <c r="J7" s="5"/>
      <c r="K7" s="5"/>
      <c r="L7" s="5"/>
      <c r="M7" s="68"/>
      <c r="N7" s="5"/>
    </row>
    <row r="8" spans="1:15" ht="15.5" x14ac:dyDescent="0.35">
      <c r="A8" s="5"/>
      <c r="B8" s="1"/>
      <c r="C8" s="7"/>
      <c r="D8" s="1"/>
      <c r="E8" s="1"/>
      <c r="F8" s="1"/>
      <c r="G8" s="7"/>
      <c r="H8" s="1"/>
      <c r="I8" s="1"/>
      <c r="J8" s="55" t="s">
        <v>443</v>
      </c>
      <c r="K8" s="56"/>
      <c r="L8" s="120">
        <v>104551.77</v>
      </c>
      <c r="M8" s="68"/>
      <c r="N8" s="5"/>
      <c r="O8" s="117"/>
    </row>
    <row r="9" spans="1:15" ht="16" thickBot="1" x14ac:dyDescent="0.4">
      <c r="A9" s="5"/>
      <c r="B9" s="1"/>
      <c r="C9" s="7"/>
      <c r="D9" s="1"/>
      <c r="E9" s="1"/>
      <c r="F9" s="1"/>
      <c r="G9" s="7"/>
      <c r="H9" s="1"/>
      <c r="I9" s="1"/>
      <c r="J9" s="168" t="s">
        <v>95</v>
      </c>
      <c r="K9" s="169"/>
      <c r="L9" s="170">
        <v>83441.08</v>
      </c>
      <c r="M9" s="68"/>
      <c r="N9" s="5"/>
    </row>
    <row r="10" spans="1:15" ht="16" thickTop="1" x14ac:dyDescent="0.35">
      <c r="A10" s="5"/>
      <c r="B10" s="1"/>
      <c r="C10" s="7"/>
      <c r="D10" s="1"/>
      <c r="E10" s="1"/>
      <c r="F10" s="1"/>
      <c r="G10" s="7"/>
      <c r="H10" s="1"/>
      <c r="I10" s="1"/>
      <c r="J10" s="171" t="s">
        <v>444</v>
      </c>
      <c r="K10" s="172"/>
      <c r="L10" s="173">
        <f>+L8+L9</f>
        <v>187992.85</v>
      </c>
      <c r="M10" s="121"/>
      <c r="N10" s="5"/>
    </row>
    <row r="11" spans="1:15" ht="15.5" x14ac:dyDescent="0.35">
      <c r="A11" s="5"/>
      <c r="B11" s="1"/>
      <c r="C11" s="7"/>
      <c r="D11" s="1"/>
      <c r="E11" s="1"/>
      <c r="F11" s="1"/>
      <c r="G11" s="7"/>
      <c r="H11" s="1"/>
      <c r="I11" s="1"/>
      <c r="J11" s="5"/>
      <c r="K11" s="5"/>
      <c r="L11" s="5"/>
      <c r="M11" s="68"/>
      <c r="N11" s="5"/>
    </row>
    <row r="12" spans="1:15" ht="15.5" x14ac:dyDescent="0.35">
      <c r="A12" s="5"/>
      <c r="B12" s="7"/>
      <c r="C12" s="7"/>
      <c r="D12" s="7"/>
      <c r="E12" s="7"/>
      <c r="F12" s="7"/>
      <c r="G12" s="7"/>
      <c r="H12" s="7"/>
      <c r="I12" s="7"/>
      <c r="J12" s="506" t="s">
        <v>110</v>
      </c>
      <c r="K12" s="507"/>
      <c r="L12" s="61">
        <v>44754</v>
      </c>
      <c r="M12" s="68"/>
      <c r="N12" s="5"/>
    </row>
    <row r="13" spans="1:15" ht="15.5" x14ac:dyDescent="0.35">
      <c r="A13" s="5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68"/>
      <c r="N13" s="5"/>
    </row>
    <row r="14" spans="1:15" s="3" customFormat="1" ht="15" customHeight="1" x14ac:dyDescent="0.35">
      <c r="A14" s="6"/>
      <c r="B14" s="8"/>
      <c r="C14" s="71"/>
      <c r="D14" s="9" t="s">
        <v>2</v>
      </c>
      <c r="E14" s="9" t="s">
        <v>3</v>
      </c>
      <c r="F14" s="9" t="s">
        <v>416</v>
      </c>
      <c r="G14" s="63"/>
      <c r="H14" s="8"/>
      <c r="I14" s="10"/>
      <c r="J14" s="162" t="s">
        <v>440</v>
      </c>
      <c r="K14" s="162" t="s">
        <v>441</v>
      </c>
      <c r="L14" s="162" t="s">
        <v>442</v>
      </c>
      <c r="M14" s="162" t="s">
        <v>416</v>
      </c>
      <c r="N14" s="6"/>
    </row>
    <row r="15" spans="1:15" s="3" customFormat="1" ht="15" customHeight="1" x14ac:dyDescent="0.35">
      <c r="A15" s="6"/>
      <c r="B15" s="11"/>
      <c r="C15" s="11" t="s">
        <v>5</v>
      </c>
      <c r="D15" s="12">
        <f>+D97</f>
        <v>167948.11</v>
      </c>
      <c r="E15" s="12">
        <f>+E97</f>
        <v>69540.459999999992</v>
      </c>
      <c r="F15" s="12">
        <f>+E15-D15</f>
        <v>-98407.65</v>
      </c>
      <c r="G15" s="64"/>
      <c r="H15" s="8"/>
      <c r="I15" s="514" t="s">
        <v>0</v>
      </c>
      <c r="J15" s="515"/>
      <c r="K15" s="515"/>
      <c r="L15" s="515"/>
      <c r="M15" s="516"/>
      <c r="N15" s="6"/>
    </row>
    <row r="16" spans="1:15" s="3" customFormat="1" ht="15" customHeight="1" x14ac:dyDescent="0.35">
      <c r="A16" s="6"/>
      <c r="B16" s="11"/>
      <c r="C16" s="11" t="s">
        <v>6</v>
      </c>
      <c r="D16" s="12">
        <f>+J50</f>
        <v>-156258.96931850002</v>
      </c>
      <c r="E16" s="12">
        <f>+K50+L50</f>
        <v>-100445.04000000001</v>
      </c>
      <c r="F16" s="12">
        <f>E16-D16</f>
        <v>55813.929318500013</v>
      </c>
      <c r="G16" s="64"/>
      <c r="H16" s="8"/>
      <c r="I16" s="39" t="s">
        <v>1</v>
      </c>
      <c r="J16" s="160"/>
      <c r="K16" s="160"/>
      <c r="L16" s="160"/>
      <c r="M16" s="163"/>
      <c r="N16" s="6"/>
    </row>
    <row r="17" spans="1:15" s="3" customFormat="1" ht="15" customHeight="1" x14ac:dyDescent="0.35">
      <c r="A17" s="6"/>
      <c r="B17" s="8"/>
      <c r="C17" s="71"/>
      <c r="D17" s="8"/>
      <c r="E17" s="8"/>
      <c r="F17" s="8"/>
      <c r="G17" s="65"/>
      <c r="H17" s="8"/>
      <c r="I17" s="13" t="s">
        <v>23</v>
      </c>
      <c r="J17" s="161"/>
      <c r="K17" s="14"/>
      <c r="L17" s="14"/>
      <c r="M17" s="15"/>
      <c r="N17" s="6"/>
      <c r="O17" s="122"/>
    </row>
    <row r="18" spans="1:15" s="3" customFormat="1" ht="15" customHeight="1" x14ac:dyDescent="0.35">
      <c r="A18" s="6"/>
      <c r="B18" s="57" t="s">
        <v>4</v>
      </c>
      <c r="C18" s="74" t="s">
        <v>114</v>
      </c>
      <c r="D18" s="512" t="s">
        <v>111</v>
      </c>
      <c r="E18" s="512"/>
      <c r="F18" s="513"/>
      <c r="G18" s="66"/>
      <c r="H18" s="8"/>
      <c r="I18" s="16" t="s">
        <v>27</v>
      </c>
      <c r="J18" s="166">
        <v>-1192</v>
      </c>
      <c r="K18" s="164">
        <f>+'TRI1'!G16</f>
        <v>-1212</v>
      </c>
      <c r="L18" s="164">
        <v>0</v>
      </c>
      <c r="M18" s="18">
        <f>K18+L18-J18</f>
        <v>-20</v>
      </c>
      <c r="N18" s="119">
        <f>(+K18+L18)/($K$50+$L$50)</f>
        <v>1.2066300137866439E-2</v>
      </c>
      <c r="O18" s="6"/>
    </row>
    <row r="19" spans="1:15" s="3" customFormat="1" ht="15" customHeight="1" x14ac:dyDescent="0.35">
      <c r="A19" s="6"/>
      <c r="B19" s="19" t="s">
        <v>7</v>
      </c>
      <c r="C19" s="72"/>
      <c r="D19" s="76">
        <v>12</v>
      </c>
      <c r="E19" s="76">
        <v>3</v>
      </c>
      <c r="F19" s="21"/>
      <c r="G19" s="112"/>
      <c r="H19" s="10"/>
      <c r="I19" s="16" t="s">
        <v>28</v>
      </c>
      <c r="J19" s="166">
        <v>-15026</v>
      </c>
      <c r="K19" s="164">
        <f>+'TRI1'!G4</f>
        <v>0</v>
      </c>
      <c r="L19" s="164">
        <v>-11002.04</v>
      </c>
      <c r="M19" s="18">
        <f t="shared" ref="M19:M30" si="0">K19+L19-J19</f>
        <v>4023.9599999999991</v>
      </c>
      <c r="N19" s="119">
        <f t="shared" ref="N19:N30" si="1">(+K19+L19)/($K$50+$L$50)</f>
        <v>0.10953293462773274</v>
      </c>
      <c r="O19" s="6"/>
    </row>
    <row r="20" spans="1:15" s="3" customFormat="1" ht="15" customHeight="1" x14ac:dyDescent="0.35">
      <c r="A20" s="6"/>
      <c r="B20" s="22" t="s">
        <v>102</v>
      </c>
      <c r="C20" s="75">
        <v>100</v>
      </c>
      <c r="D20" s="17">
        <f>+C20*$D$19</f>
        <v>1200</v>
      </c>
      <c r="E20" s="17">
        <f>+C20*$E$19</f>
        <v>300</v>
      </c>
      <c r="F20" s="23">
        <f t="shared" ref="F20:F97" si="2">E20-D20</f>
        <v>-900</v>
      </c>
      <c r="G20" s="113">
        <f>+E20/$E$24</f>
        <v>0.34482758620689657</v>
      </c>
      <c r="H20" s="62"/>
      <c r="I20" s="16" t="s">
        <v>439</v>
      </c>
      <c r="J20" s="166">
        <f>-2454.33-480</f>
        <v>-2934.33</v>
      </c>
      <c r="K20" s="164">
        <v>0</v>
      </c>
      <c r="L20" s="164">
        <v>-261.47000000000003</v>
      </c>
      <c r="M20" s="18">
        <f t="shared" si="0"/>
        <v>2672.8599999999997</v>
      </c>
      <c r="N20" s="119">
        <f t="shared" si="1"/>
        <v>2.6031150965742061E-3</v>
      </c>
      <c r="O20" s="6"/>
    </row>
    <row r="21" spans="1:15" s="3" customFormat="1" ht="15" customHeight="1" x14ac:dyDescent="0.35">
      <c r="A21" s="6"/>
      <c r="B21" s="22" t="s">
        <v>46</v>
      </c>
      <c r="C21" s="75">
        <v>50</v>
      </c>
      <c r="D21" s="17">
        <f t="shared" ref="D21:D23" si="3">+C21*$D$19</f>
        <v>600</v>
      </c>
      <c r="E21" s="17">
        <f t="shared" ref="E21:E23" si="4">+C21*$E$19</f>
        <v>150</v>
      </c>
      <c r="F21" s="23">
        <f t="shared" si="2"/>
        <v>-450</v>
      </c>
      <c r="G21" s="113">
        <f t="shared" ref="G21:G23" si="5">+E21/$E$24</f>
        <v>0.17241379310344829</v>
      </c>
      <c r="H21" s="24"/>
      <c r="I21" s="16" t="s">
        <v>414</v>
      </c>
      <c r="J21" s="166">
        <v>-1100</v>
      </c>
      <c r="K21" s="164">
        <f>+'TRI1'!G5</f>
        <v>-577.62</v>
      </c>
      <c r="L21" s="164">
        <v>0</v>
      </c>
      <c r="M21" s="18">
        <f t="shared" si="0"/>
        <v>522.38</v>
      </c>
      <c r="N21" s="119">
        <f t="shared" si="1"/>
        <v>5.7506074963980299E-3</v>
      </c>
      <c r="O21" s="6"/>
    </row>
    <row r="22" spans="1:15" s="3" customFormat="1" ht="15" customHeight="1" x14ac:dyDescent="0.35">
      <c r="A22" s="6"/>
      <c r="B22" s="22" t="s">
        <v>47</v>
      </c>
      <c r="C22" s="75">
        <v>100</v>
      </c>
      <c r="D22" s="17">
        <f t="shared" si="3"/>
        <v>1200</v>
      </c>
      <c r="E22" s="17">
        <f t="shared" si="4"/>
        <v>300</v>
      </c>
      <c r="F22" s="23">
        <f t="shared" si="2"/>
        <v>-900</v>
      </c>
      <c r="G22" s="113">
        <f t="shared" si="5"/>
        <v>0.34482758620689657</v>
      </c>
      <c r="H22" s="508"/>
      <c r="I22" s="16" t="s">
        <v>19</v>
      </c>
      <c r="J22" s="166">
        <v>-8268</v>
      </c>
      <c r="K22" s="164">
        <f>+'TRI1'!G6</f>
        <v>-1800</v>
      </c>
      <c r="L22" s="164">
        <v>-1800</v>
      </c>
      <c r="M22" s="18">
        <f t="shared" si="0"/>
        <v>4668</v>
      </c>
      <c r="N22" s="119">
        <f t="shared" si="1"/>
        <v>3.584049545900922E-2</v>
      </c>
      <c r="O22" s="6"/>
    </row>
    <row r="23" spans="1:15" s="3" customFormat="1" ht="15" customHeight="1" x14ac:dyDescent="0.35">
      <c r="A23" s="6"/>
      <c r="B23" s="22" t="s">
        <v>48</v>
      </c>
      <c r="C23" s="75">
        <v>40</v>
      </c>
      <c r="D23" s="17">
        <f t="shared" si="3"/>
        <v>480</v>
      </c>
      <c r="E23" s="17">
        <f t="shared" si="4"/>
        <v>120</v>
      </c>
      <c r="F23" s="23">
        <f t="shared" si="2"/>
        <v>-360</v>
      </c>
      <c r="G23" s="113">
        <f t="shared" si="5"/>
        <v>0.13793103448275862</v>
      </c>
      <c r="H23" s="509"/>
      <c r="I23" s="16" t="s">
        <v>20</v>
      </c>
      <c r="J23" s="166">
        <v>-4185</v>
      </c>
      <c r="K23" s="164">
        <f>+'TRI1'!G7</f>
        <v>-1152.4100000000003</v>
      </c>
      <c r="L23" s="164">
        <v>-711.93</v>
      </c>
      <c r="M23" s="18">
        <f t="shared" si="0"/>
        <v>2320.66</v>
      </c>
      <c r="N23" s="119">
        <f t="shared" si="1"/>
        <v>1.8560797028902572E-2</v>
      </c>
      <c r="O23" s="6"/>
    </row>
    <row r="24" spans="1:15" s="3" customFormat="1" ht="15" customHeight="1" x14ac:dyDescent="0.35">
      <c r="A24" s="6"/>
      <c r="B24" s="22"/>
      <c r="C24" s="20"/>
      <c r="D24" s="25">
        <v>3770</v>
      </c>
      <c r="E24" s="25">
        <f>SUM(E20:E23)</f>
        <v>870</v>
      </c>
      <c r="F24" s="23">
        <f t="shared" si="2"/>
        <v>-2900</v>
      </c>
      <c r="G24" s="114">
        <f>+E24/$E$97</f>
        <v>1.2510702402601307E-2</v>
      </c>
      <c r="H24" s="509"/>
      <c r="I24" s="16" t="s">
        <v>22</v>
      </c>
      <c r="J24" s="166">
        <v>-390.76</v>
      </c>
      <c r="K24" s="164">
        <f>+'TRI1'!G8</f>
        <v>-1879.77</v>
      </c>
      <c r="L24" s="164">
        <v>-7.1099999999999994</v>
      </c>
      <c r="M24" s="18">
        <f t="shared" si="0"/>
        <v>-1496.12</v>
      </c>
      <c r="N24" s="119">
        <f t="shared" si="1"/>
        <v>1.8785198353248701E-2</v>
      </c>
      <c r="O24" s="6"/>
    </row>
    <row r="25" spans="1:15" s="3" customFormat="1" ht="15" customHeight="1" x14ac:dyDescent="0.35">
      <c r="A25" s="6"/>
      <c r="B25" s="19" t="s">
        <v>8</v>
      </c>
      <c r="C25" s="72"/>
      <c r="D25" s="26"/>
      <c r="E25" s="26"/>
      <c r="F25" s="23"/>
      <c r="G25" s="112"/>
      <c r="H25" s="509"/>
      <c r="I25" s="16" t="s">
        <v>32</v>
      </c>
      <c r="J25" s="166">
        <v>-11600</v>
      </c>
      <c r="K25" s="164">
        <f>+'TRI1'!G9</f>
        <v>0</v>
      </c>
      <c r="L25" s="164">
        <v>0</v>
      </c>
      <c r="M25" s="18">
        <f t="shared" si="0"/>
        <v>11600</v>
      </c>
      <c r="N25" s="119">
        <f t="shared" si="1"/>
        <v>0</v>
      </c>
      <c r="O25" s="6"/>
    </row>
    <row r="26" spans="1:15" s="3" customFormat="1" ht="15" customHeight="1" x14ac:dyDescent="0.35">
      <c r="A26" s="6"/>
      <c r="B26" s="22" t="s">
        <v>49</v>
      </c>
      <c r="C26" s="75">
        <v>150</v>
      </c>
      <c r="D26" s="17">
        <f t="shared" ref="D26:D29" si="6">+C26*$D$19</f>
        <v>1800</v>
      </c>
      <c r="E26" s="17">
        <f>+C26*$E$19</f>
        <v>450</v>
      </c>
      <c r="F26" s="23">
        <f t="shared" ref="F26:F30" si="7">E26-D26</f>
        <v>-1350</v>
      </c>
      <c r="G26" s="113">
        <f>+E26/$E$30</f>
        <v>0.2</v>
      </c>
      <c r="H26" s="509"/>
      <c r="I26" s="16" t="s">
        <v>44</v>
      </c>
      <c r="J26" s="166">
        <f>(-D88+D86)*0.3333333</f>
        <v>-40148.3293185</v>
      </c>
      <c r="K26" s="164">
        <f>+'TRI1'!G10</f>
        <v>-8064.91</v>
      </c>
      <c r="L26" s="164">
        <v>-8104.5</v>
      </c>
      <c r="M26" s="18">
        <f t="shared" si="0"/>
        <v>23978.9193185</v>
      </c>
      <c r="N26" s="119">
        <f t="shared" si="1"/>
        <v>0.16097768491107176</v>
      </c>
      <c r="O26" s="6"/>
    </row>
    <row r="27" spans="1:15" s="3" customFormat="1" ht="15" customHeight="1" x14ac:dyDescent="0.35">
      <c r="A27" s="6"/>
      <c r="B27" s="22" t="s">
        <v>50</v>
      </c>
      <c r="C27" s="75">
        <v>200</v>
      </c>
      <c r="D27" s="17">
        <f t="shared" si="6"/>
        <v>2400</v>
      </c>
      <c r="E27" s="17">
        <f t="shared" ref="E27:E29" si="8">+C27*$E$19</f>
        <v>600</v>
      </c>
      <c r="F27" s="23">
        <f t="shared" si="7"/>
        <v>-1800</v>
      </c>
      <c r="G27" s="113">
        <f t="shared" ref="G27:G29" si="9">+E27/$E$30</f>
        <v>0.26666666666666666</v>
      </c>
      <c r="H27" s="509"/>
      <c r="I27" s="16" t="s">
        <v>25</v>
      </c>
      <c r="J27" s="166">
        <v>-9754.5499999999993</v>
      </c>
      <c r="K27" s="164">
        <f>+'TRI1'!G11</f>
        <v>-8567.09</v>
      </c>
      <c r="L27" s="164">
        <v>0</v>
      </c>
      <c r="M27" s="18">
        <f t="shared" si="0"/>
        <v>1187.4599999999991</v>
      </c>
      <c r="N27" s="119">
        <f t="shared" si="1"/>
        <v>8.5291319511645369E-2</v>
      </c>
      <c r="O27" s="6"/>
    </row>
    <row r="28" spans="1:15" s="3" customFormat="1" ht="15" customHeight="1" x14ac:dyDescent="0.35">
      <c r="A28" s="6"/>
      <c r="B28" s="22" t="s">
        <v>51</v>
      </c>
      <c r="C28" s="75">
        <v>100</v>
      </c>
      <c r="D28" s="17">
        <f t="shared" si="6"/>
        <v>1200</v>
      </c>
      <c r="E28" s="17">
        <f t="shared" si="8"/>
        <v>300</v>
      </c>
      <c r="F28" s="23">
        <f t="shared" si="7"/>
        <v>-900</v>
      </c>
      <c r="G28" s="113">
        <f t="shared" si="9"/>
        <v>0.13333333333333333</v>
      </c>
      <c r="H28" s="509"/>
      <c r="I28" s="16" t="s">
        <v>24</v>
      </c>
      <c r="J28" s="166">
        <f>-5679-4699</f>
        <v>-10378</v>
      </c>
      <c r="K28" s="164">
        <f>+'TRI1'!G12</f>
        <v>-49.86</v>
      </c>
      <c r="L28" s="164">
        <v>0</v>
      </c>
      <c r="M28" s="18">
        <f t="shared" si="0"/>
        <v>10328.14</v>
      </c>
      <c r="N28" s="119">
        <f t="shared" si="1"/>
        <v>4.9639086210727769E-4</v>
      </c>
      <c r="O28" s="6"/>
    </row>
    <row r="29" spans="1:15" s="3" customFormat="1" ht="15" customHeight="1" x14ac:dyDescent="0.35">
      <c r="A29" s="6"/>
      <c r="B29" s="22" t="s">
        <v>52</v>
      </c>
      <c r="C29" s="75">
        <v>300</v>
      </c>
      <c r="D29" s="17">
        <f t="shared" si="6"/>
        <v>3600</v>
      </c>
      <c r="E29" s="17">
        <f t="shared" si="8"/>
        <v>900</v>
      </c>
      <c r="F29" s="23">
        <f t="shared" si="7"/>
        <v>-2700</v>
      </c>
      <c r="G29" s="113">
        <f t="shared" si="9"/>
        <v>0.4</v>
      </c>
      <c r="H29" s="509"/>
      <c r="I29" s="16" t="s">
        <v>93</v>
      </c>
      <c r="J29" s="166">
        <v>-4400</v>
      </c>
      <c r="K29" s="164">
        <f>+'TRI1'!G13</f>
        <v>0</v>
      </c>
      <c r="L29" s="164">
        <v>-7070.82</v>
      </c>
      <c r="M29" s="18">
        <f t="shared" si="0"/>
        <v>-2670.8199999999997</v>
      </c>
      <c r="N29" s="119">
        <f t="shared" si="1"/>
        <v>7.0394914472630993E-2</v>
      </c>
      <c r="O29" s="6"/>
    </row>
    <row r="30" spans="1:15" s="3" customFormat="1" ht="15" customHeight="1" x14ac:dyDescent="0.35">
      <c r="A30" s="6"/>
      <c r="B30" s="22"/>
      <c r="C30" s="20"/>
      <c r="D30" s="25">
        <v>9750</v>
      </c>
      <c r="E30" s="25">
        <f>SUM(E26:E29)</f>
        <v>2250</v>
      </c>
      <c r="F30" s="23">
        <f t="shared" si="7"/>
        <v>-7500</v>
      </c>
      <c r="G30" s="114">
        <f>+E30/$E$97</f>
        <v>3.2355264834313724E-2</v>
      </c>
      <c r="H30" s="509"/>
      <c r="I30" s="16"/>
      <c r="J30" s="29">
        <f>SUM(J18:J29)</f>
        <v>-109376.96931850001</v>
      </c>
      <c r="K30" s="29">
        <f>SUM(K18:K29)</f>
        <v>-23303.660000000003</v>
      </c>
      <c r="L30" s="29">
        <f>SUM(L18:L29)</f>
        <v>-28957.870000000003</v>
      </c>
      <c r="M30" s="18">
        <f t="shared" si="0"/>
        <v>57115.439318500001</v>
      </c>
      <c r="N30" s="165">
        <f t="shared" si="1"/>
        <v>0.5202997579571873</v>
      </c>
      <c r="O30" s="6"/>
    </row>
    <row r="31" spans="1:15" s="3" customFormat="1" ht="15" customHeight="1" x14ac:dyDescent="0.35">
      <c r="A31" s="6"/>
      <c r="B31" s="19" t="s">
        <v>9</v>
      </c>
      <c r="C31" s="72"/>
      <c r="D31" s="26"/>
      <c r="E31" s="26"/>
      <c r="F31" s="23"/>
      <c r="G31" s="112"/>
      <c r="H31" s="8"/>
      <c r="I31" s="39" t="s">
        <v>95</v>
      </c>
      <c r="J31" s="30"/>
      <c r="K31" s="30"/>
      <c r="L31" s="30"/>
      <c r="M31" s="18"/>
      <c r="N31" s="118"/>
      <c r="O31" s="6"/>
    </row>
    <row r="32" spans="1:15" s="3" customFormat="1" ht="15" customHeight="1" x14ac:dyDescent="0.35">
      <c r="A32" s="6"/>
      <c r="B32" s="22" t="s">
        <v>53</v>
      </c>
      <c r="C32" s="75">
        <v>150</v>
      </c>
      <c r="D32" s="17">
        <f t="shared" ref="D32:D35" si="10">+C32*$D$19</f>
        <v>1800</v>
      </c>
      <c r="E32" s="17">
        <f t="shared" ref="E32:E35" si="11">+C32*$E$19</f>
        <v>450</v>
      </c>
      <c r="F32" s="23">
        <f t="shared" ref="F32:F36" si="12">E32-D32</f>
        <v>-1350</v>
      </c>
      <c r="G32" s="113">
        <f>+E32/$E$36</f>
        <v>0.44117647058823528</v>
      </c>
      <c r="H32" s="8"/>
      <c r="I32" s="13" t="s">
        <v>33</v>
      </c>
      <c r="J32" s="30"/>
      <c r="K32" s="30"/>
      <c r="L32" s="30"/>
      <c r="M32" s="18"/>
      <c r="O32" s="6"/>
    </row>
    <row r="33" spans="1:15" s="3" customFormat="1" ht="15" customHeight="1" x14ac:dyDescent="0.35">
      <c r="A33" s="6"/>
      <c r="B33" s="22" t="s">
        <v>54</v>
      </c>
      <c r="C33" s="75">
        <v>50</v>
      </c>
      <c r="D33" s="17">
        <f t="shared" si="10"/>
        <v>600</v>
      </c>
      <c r="E33" s="17">
        <f t="shared" si="11"/>
        <v>150</v>
      </c>
      <c r="F33" s="23">
        <f t="shared" si="12"/>
        <v>-450</v>
      </c>
      <c r="G33" s="113">
        <f t="shared" ref="G33:G35" si="13">+E33/$E$36</f>
        <v>0.14705882352941177</v>
      </c>
      <c r="H33" s="28"/>
      <c r="I33" s="16" t="s">
        <v>34</v>
      </c>
      <c r="J33" s="167">
        <v>0</v>
      </c>
      <c r="K33" s="17">
        <f>+'TRI1'!G24</f>
        <v>0</v>
      </c>
      <c r="L33" s="17">
        <v>-10266.23</v>
      </c>
      <c r="M33" s="18">
        <f t="shared" ref="M33:M48" si="14">K33+L33-J33</f>
        <v>-10266.23</v>
      </c>
      <c r="N33" s="113">
        <f t="shared" ref="N33:N48" si="15">(+K33+L33)/($K$50+$L$50)</f>
        <v>0.10220743602670673</v>
      </c>
      <c r="O33" s="6"/>
    </row>
    <row r="34" spans="1:15" s="3" customFormat="1" ht="15" customHeight="1" x14ac:dyDescent="0.35">
      <c r="A34" s="6"/>
      <c r="B34" s="22" t="s">
        <v>55</v>
      </c>
      <c r="C34" s="75">
        <v>50</v>
      </c>
      <c r="D34" s="17">
        <f t="shared" si="10"/>
        <v>600</v>
      </c>
      <c r="E34" s="17">
        <f t="shared" si="11"/>
        <v>150</v>
      </c>
      <c r="F34" s="23">
        <f t="shared" si="12"/>
        <v>-450</v>
      </c>
      <c r="G34" s="113">
        <f t="shared" si="13"/>
        <v>0.14705882352941177</v>
      </c>
      <c r="H34" s="508"/>
      <c r="I34" s="16" t="s">
        <v>36</v>
      </c>
      <c r="J34" s="167">
        <v>0</v>
      </c>
      <c r="K34" s="17">
        <f>+'TRI1'!G25</f>
        <v>-1845</v>
      </c>
      <c r="L34" s="17">
        <v>0</v>
      </c>
      <c r="M34" s="18">
        <f t="shared" si="14"/>
        <v>-1845</v>
      </c>
      <c r="N34" s="113">
        <f t="shared" si="15"/>
        <v>1.8368253922742227E-2</v>
      </c>
      <c r="O34" s="6"/>
    </row>
    <row r="35" spans="1:15" s="3" customFormat="1" ht="15" customHeight="1" x14ac:dyDescent="0.35">
      <c r="A35" s="6"/>
      <c r="B35" s="22" t="s">
        <v>56</v>
      </c>
      <c r="C35" s="75">
        <v>90</v>
      </c>
      <c r="D35" s="17">
        <f t="shared" si="10"/>
        <v>1080</v>
      </c>
      <c r="E35" s="17">
        <f t="shared" si="11"/>
        <v>270</v>
      </c>
      <c r="F35" s="23">
        <f t="shared" si="12"/>
        <v>-810</v>
      </c>
      <c r="G35" s="113">
        <f t="shared" si="13"/>
        <v>0.26470588235294118</v>
      </c>
      <c r="H35" s="509"/>
      <c r="I35" s="16" t="s">
        <v>42</v>
      </c>
      <c r="J35" s="167">
        <v>0</v>
      </c>
      <c r="K35" s="17">
        <f>+'TRI1'!G26</f>
        <v>0</v>
      </c>
      <c r="L35" s="17">
        <v>0</v>
      </c>
      <c r="M35" s="18">
        <f t="shared" si="14"/>
        <v>0</v>
      </c>
      <c r="N35" s="113">
        <f t="shared" si="15"/>
        <v>0</v>
      </c>
      <c r="O35" s="6"/>
    </row>
    <row r="36" spans="1:15" s="3" customFormat="1" ht="15" customHeight="1" x14ac:dyDescent="0.35">
      <c r="A36" s="6"/>
      <c r="B36" s="22"/>
      <c r="C36" s="75"/>
      <c r="D36" s="25">
        <v>5070</v>
      </c>
      <c r="E36" s="25">
        <f>SUM(E32:E35)</f>
        <v>1020</v>
      </c>
      <c r="F36" s="23">
        <f t="shared" si="12"/>
        <v>-4050</v>
      </c>
      <c r="G36" s="114">
        <f>+E36/$E$97</f>
        <v>1.4667720058222223E-2</v>
      </c>
      <c r="H36" s="509"/>
      <c r="I36" s="16" t="s">
        <v>35</v>
      </c>
      <c r="J36" s="167">
        <v>-12000</v>
      </c>
      <c r="K36" s="17">
        <f>+'TRI1'!G27</f>
        <v>0</v>
      </c>
      <c r="L36" s="17">
        <v>0</v>
      </c>
      <c r="M36" s="18">
        <f t="shared" si="14"/>
        <v>12000</v>
      </c>
      <c r="N36" s="113">
        <f t="shared" si="15"/>
        <v>0</v>
      </c>
      <c r="O36" s="6"/>
    </row>
    <row r="37" spans="1:15" s="3" customFormat="1" ht="15" customHeight="1" x14ac:dyDescent="0.35">
      <c r="A37" s="6"/>
      <c r="B37" s="19" t="s">
        <v>10</v>
      </c>
      <c r="C37" s="75"/>
      <c r="D37" s="26"/>
      <c r="E37" s="26"/>
      <c r="F37" s="23"/>
      <c r="G37" s="112"/>
      <c r="H37" s="509"/>
      <c r="I37" s="16" t="s">
        <v>437</v>
      </c>
      <c r="J37" s="167">
        <v>-2362</v>
      </c>
      <c r="K37" s="17">
        <f>+'TRI1'!G28</f>
        <v>0</v>
      </c>
      <c r="L37" s="17">
        <v>-3607.5</v>
      </c>
      <c r="M37" s="18">
        <f t="shared" si="14"/>
        <v>-1245.5</v>
      </c>
      <c r="N37" s="113">
        <f t="shared" si="15"/>
        <v>3.5915163157882159E-2</v>
      </c>
      <c r="O37" s="6"/>
    </row>
    <row r="38" spans="1:15" s="3" customFormat="1" ht="15" customHeight="1" x14ac:dyDescent="0.35">
      <c r="A38" s="6"/>
      <c r="B38" s="22" t="s">
        <v>57</v>
      </c>
      <c r="C38" s="75">
        <v>250</v>
      </c>
      <c r="D38" s="17">
        <f t="shared" ref="D38:D41" si="16">+C38*$D$19</f>
        <v>3000</v>
      </c>
      <c r="E38" s="17">
        <f>+C38*$E$19</f>
        <v>750</v>
      </c>
      <c r="F38" s="23">
        <f t="shared" ref="F38:F42" si="17">E38-D38</f>
        <v>-2250</v>
      </c>
      <c r="G38" s="113">
        <f>+E38/$E$42</f>
        <v>0.41666666666666669</v>
      </c>
      <c r="H38" s="509"/>
      <c r="I38" s="16"/>
      <c r="J38" s="29">
        <f>SUM(J33:J37)</f>
        <v>-14362</v>
      </c>
      <c r="K38" s="29">
        <f>SUM(K33:K37)</f>
        <v>-1845</v>
      </c>
      <c r="L38" s="29">
        <f>SUM(L33:L37)</f>
        <v>-13873.73</v>
      </c>
      <c r="M38" s="18">
        <f t="shared" si="14"/>
        <v>-1356.7299999999996</v>
      </c>
      <c r="N38" s="119">
        <f t="shared" si="15"/>
        <v>0.15649085310733113</v>
      </c>
      <c r="O38" s="6"/>
    </row>
    <row r="39" spans="1:15" s="3" customFormat="1" ht="15" customHeight="1" x14ac:dyDescent="0.35">
      <c r="A39" s="6"/>
      <c r="B39" s="22" t="s">
        <v>58</v>
      </c>
      <c r="C39" s="75">
        <v>180</v>
      </c>
      <c r="D39" s="17">
        <f t="shared" si="16"/>
        <v>2160</v>
      </c>
      <c r="E39" s="17">
        <f t="shared" ref="E39:E41" si="18">+C39*$E$19</f>
        <v>540</v>
      </c>
      <c r="F39" s="23">
        <f t="shared" si="17"/>
        <v>-1620</v>
      </c>
      <c r="G39" s="113">
        <f t="shared" ref="G39:G41" si="19">+E39/$E$42</f>
        <v>0.3</v>
      </c>
      <c r="H39" s="509"/>
      <c r="I39" s="13" t="s">
        <v>37</v>
      </c>
      <c r="J39" s="27"/>
      <c r="K39" s="27"/>
      <c r="L39" s="27"/>
      <c r="M39" s="18"/>
      <c r="N39" s="118"/>
      <c r="O39" s="6"/>
    </row>
    <row r="40" spans="1:15" s="3" customFormat="1" ht="15" customHeight="1" x14ac:dyDescent="0.35">
      <c r="A40" s="6"/>
      <c r="B40" s="22" t="s">
        <v>59</v>
      </c>
      <c r="C40" s="75">
        <v>100</v>
      </c>
      <c r="D40" s="17">
        <f t="shared" si="16"/>
        <v>1200</v>
      </c>
      <c r="E40" s="17">
        <f t="shared" si="18"/>
        <v>300</v>
      </c>
      <c r="F40" s="23">
        <f t="shared" si="17"/>
        <v>-900</v>
      </c>
      <c r="G40" s="113">
        <f t="shared" si="19"/>
        <v>0.16666666666666666</v>
      </c>
      <c r="H40" s="509"/>
      <c r="I40" s="16" t="s">
        <v>38</v>
      </c>
      <c r="J40" s="167">
        <v>-2666.6666666666702</v>
      </c>
      <c r="K40" s="17">
        <f>+'TRI1'!G31</f>
        <v>0</v>
      </c>
      <c r="L40" s="17">
        <v>0</v>
      </c>
      <c r="M40" s="18">
        <f t="shared" si="14"/>
        <v>2666.6666666666702</v>
      </c>
      <c r="N40" s="113">
        <f t="shared" si="15"/>
        <v>0</v>
      </c>
      <c r="O40" s="6"/>
    </row>
    <row r="41" spans="1:15" s="3" customFormat="1" ht="15" customHeight="1" x14ac:dyDescent="0.35">
      <c r="A41" s="6"/>
      <c r="B41" s="22" t="s">
        <v>60</v>
      </c>
      <c r="C41" s="75">
        <v>70</v>
      </c>
      <c r="D41" s="17">
        <f t="shared" si="16"/>
        <v>840</v>
      </c>
      <c r="E41" s="17">
        <f t="shared" si="18"/>
        <v>210</v>
      </c>
      <c r="F41" s="23">
        <f t="shared" si="17"/>
        <v>-630</v>
      </c>
      <c r="G41" s="113">
        <f t="shared" si="19"/>
        <v>0.11666666666666667</v>
      </c>
      <c r="H41" s="509"/>
      <c r="I41" s="16" t="s">
        <v>39</v>
      </c>
      <c r="J41" s="167">
        <v>-2666.6666666666702</v>
      </c>
      <c r="K41" s="17">
        <f>+'TRI1'!G32</f>
        <v>-2882.33</v>
      </c>
      <c r="L41" s="17">
        <v>-2825</v>
      </c>
      <c r="M41" s="18">
        <f t="shared" si="14"/>
        <v>-3040.6633333333298</v>
      </c>
      <c r="N41" s="113">
        <f t="shared" si="15"/>
        <v>5.6820426374463086E-2</v>
      </c>
      <c r="O41" s="6"/>
    </row>
    <row r="42" spans="1:15" s="3" customFormat="1" ht="15" customHeight="1" x14ac:dyDescent="0.35">
      <c r="A42" s="6"/>
      <c r="B42" s="22"/>
      <c r="C42" s="75"/>
      <c r="D42" s="25">
        <v>7800</v>
      </c>
      <c r="E42" s="25">
        <f>SUM(E38:E41)</f>
        <v>1800</v>
      </c>
      <c r="F42" s="23">
        <f t="shared" si="17"/>
        <v>-6000</v>
      </c>
      <c r="G42" s="114">
        <f>+E42/$E$97</f>
        <v>2.588421186745098E-2</v>
      </c>
      <c r="H42" s="509"/>
      <c r="I42" s="16" t="s">
        <v>40</v>
      </c>
      <c r="J42" s="167">
        <v>-2666.6666666666702</v>
      </c>
      <c r="K42" s="17">
        <f>+'TRI1'!G33</f>
        <v>0</v>
      </c>
      <c r="L42" s="17">
        <v>0</v>
      </c>
      <c r="M42" s="18">
        <f t="shared" si="14"/>
        <v>2666.6666666666702</v>
      </c>
      <c r="N42" s="113">
        <f t="shared" si="15"/>
        <v>0</v>
      </c>
      <c r="O42" s="6"/>
    </row>
    <row r="43" spans="1:15" s="3" customFormat="1" ht="15" customHeight="1" x14ac:dyDescent="0.35">
      <c r="A43" s="6"/>
      <c r="B43" s="19" t="s">
        <v>11</v>
      </c>
      <c r="C43" s="75"/>
      <c r="D43" s="26"/>
      <c r="E43" s="26"/>
      <c r="F43" s="23"/>
      <c r="G43" s="112"/>
      <c r="H43" s="509"/>
      <c r="I43" s="16"/>
      <c r="J43" s="29">
        <f>SUM(J40:J42)</f>
        <v>-8000.0000000000109</v>
      </c>
      <c r="K43" s="29">
        <f>SUM(K40:K42)</f>
        <v>-2882.33</v>
      </c>
      <c r="L43" s="29">
        <f>SUM(L40:L42)</f>
        <v>-2825</v>
      </c>
      <c r="M43" s="18">
        <f t="shared" si="14"/>
        <v>2292.670000000011</v>
      </c>
      <c r="N43" s="119">
        <f t="shared" si="15"/>
        <v>5.6820426374463086E-2</v>
      </c>
      <c r="O43" s="6"/>
    </row>
    <row r="44" spans="1:15" s="3" customFormat="1" ht="15" customHeight="1" x14ac:dyDescent="0.35">
      <c r="A44" s="6"/>
      <c r="B44" s="22" t="s">
        <v>101</v>
      </c>
      <c r="C44" s="75">
        <v>150</v>
      </c>
      <c r="D44" s="17">
        <f t="shared" ref="D44:D62" si="20">+C44*$D$19</f>
        <v>1800</v>
      </c>
      <c r="E44" s="17">
        <f t="shared" ref="E44:E61" si="21">+C44*$E$19</f>
        <v>450</v>
      </c>
      <c r="F44" s="23">
        <f t="shared" ref="F44:F47" si="22">E44-D44</f>
        <v>-1350</v>
      </c>
      <c r="G44" s="113">
        <f>+E44/$E$63</f>
        <v>3.0643513789581207E-2</v>
      </c>
      <c r="H44" s="509"/>
      <c r="I44" s="13" t="s">
        <v>41</v>
      </c>
      <c r="J44" s="27"/>
      <c r="K44" s="27"/>
      <c r="L44" s="27"/>
      <c r="M44" s="18"/>
      <c r="N44" s="118"/>
      <c r="O44" s="6"/>
    </row>
    <row r="45" spans="1:15" s="3" customFormat="1" ht="15" customHeight="1" x14ac:dyDescent="0.35">
      <c r="A45" s="6"/>
      <c r="B45" s="22" t="s">
        <v>61</v>
      </c>
      <c r="C45" s="75">
        <v>200</v>
      </c>
      <c r="D45" s="17">
        <f t="shared" si="20"/>
        <v>2400</v>
      </c>
      <c r="E45" s="17">
        <f t="shared" si="21"/>
        <v>600</v>
      </c>
      <c r="F45" s="23">
        <f t="shared" si="22"/>
        <v>-1800</v>
      </c>
      <c r="G45" s="113">
        <f t="shared" ref="G45:G62" si="23">+E45/$E$63</f>
        <v>4.0858018386108273E-2</v>
      </c>
      <c r="H45" s="509"/>
      <c r="I45" s="16" t="s">
        <v>43</v>
      </c>
      <c r="J45" s="167">
        <v>-24520</v>
      </c>
      <c r="K45" s="17">
        <f>+'TRI1'!G36</f>
        <v>-13973.6</v>
      </c>
      <c r="L45" s="17">
        <v>-10000</v>
      </c>
      <c r="M45" s="18">
        <f t="shared" si="14"/>
        <v>546.40000000000146</v>
      </c>
      <c r="N45" s="113">
        <f t="shared" si="15"/>
        <v>0.23867380609336206</v>
      </c>
      <c r="O45" s="6"/>
    </row>
    <row r="46" spans="1:15" s="3" customFormat="1" ht="15" customHeight="1" x14ac:dyDescent="0.35">
      <c r="A46" s="6"/>
      <c r="B46" s="22" t="s">
        <v>62</v>
      </c>
      <c r="C46" s="75">
        <v>250</v>
      </c>
      <c r="D46" s="17">
        <f t="shared" si="20"/>
        <v>3000</v>
      </c>
      <c r="E46" s="17">
        <f t="shared" si="21"/>
        <v>750</v>
      </c>
      <c r="F46" s="23">
        <f t="shared" si="22"/>
        <v>-2250</v>
      </c>
      <c r="G46" s="113">
        <f t="shared" si="23"/>
        <v>5.1072522982635343E-2</v>
      </c>
      <c r="H46" s="509"/>
      <c r="I46" s="16" t="s">
        <v>45</v>
      </c>
      <c r="J46" s="167">
        <v>0</v>
      </c>
      <c r="K46" s="17">
        <f>+'TRI1'!G37</f>
        <v>-2783.85</v>
      </c>
      <c r="L46" s="17">
        <v>0</v>
      </c>
      <c r="M46" s="18">
        <f t="shared" si="14"/>
        <v>-2783.85</v>
      </c>
      <c r="N46" s="113">
        <f t="shared" si="15"/>
        <v>2.7715156467656338E-2</v>
      </c>
      <c r="O46" s="6"/>
    </row>
    <row r="47" spans="1:15" s="3" customFormat="1" ht="15" customHeight="1" x14ac:dyDescent="0.35">
      <c r="A47" s="6"/>
      <c r="B47" s="22" t="s">
        <v>63</v>
      </c>
      <c r="C47" s="75">
        <v>150</v>
      </c>
      <c r="D47" s="17">
        <f t="shared" si="20"/>
        <v>1800</v>
      </c>
      <c r="E47" s="17">
        <f t="shared" si="21"/>
        <v>450</v>
      </c>
      <c r="F47" s="23">
        <f t="shared" si="22"/>
        <v>-1350</v>
      </c>
      <c r="G47" s="113">
        <f t="shared" si="23"/>
        <v>3.0643513789581207E-2</v>
      </c>
      <c r="H47" s="509"/>
      <c r="I47" s="16" t="s">
        <v>94</v>
      </c>
      <c r="J47" s="167">
        <v>0</v>
      </c>
      <c r="K47" s="17">
        <f>+'TRI1'!G38</f>
        <v>0</v>
      </c>
      <c r="L47" s="17">
        <v>0</v>
      </c>
      <c r="M47" s="18">
        <f t="shared" si="14"/>
        <v>0</v>
      </c>
      <c r="N47" s="113">
        <f t="shared" si="15"/>
        <v>0</v>
      </c>
      <c r="O47" s="6"/>
    </row>
    <row r="48" spans="1:15" s="3" customFormat="1" ht="15" customHeight="1" x14ac:dyDescent="0.35">
      <c r="A48" s="6"/>
      <c r="B48" s="22" t="s">
        <v>64</v>
      </c>
      <c r="C48" s="75">
        <v>100</v>
      </c>
      <c r="D48" s="17">
        <f t="shared" si="20"/>
        <v>1200</v>
      </c>
      <c r="E48" s="17">
        <f t="shared" si="21"/>
        <v>300</v>
      </c>
      <c r="F48" s="23">
        <f t="shared" ref="F48:F55" si="24">E48-D48</f>
        <v>-900</v>
      </c>
      <c r="G48" s="113">
        <f t="shared" si="23"/>
        <v>2.0429009193054137E-2</v>
      </c>
      <c r="H48" s="31"/>
      <c r="I48" s="16"/>
      <c r="J48" s="29">
        <f>SUM(J45:J47)</f>
        <v>-24520</v>
      </c>
      <c r="K48" s="29">
        <f>SUM(K45:K47)</f>
        <v>-16757.45</v>
      </c>
      <c r="L48" s="29">
        <f>SUM(L45:L47)</f>
        <v>-10000</v>
      </c>
      <c r="M48" s="18">
        <f t="shared" si="14"/>
        <v>-2237.4500000000007</v>
      </c>
      <c r="N48" s="119">
        <f t="shared" si="15"/>
        <v>0.26638896256101841</v>
      </c>
      <c r="O48" s="6"/>
    </row>
    <row r="49" spans="1:15" s="3" customFormat="1" ht="15" customHeight="1" x14ac:dyDescent="0.35">
      <c r="A49" s="6"/>
      <c r="B49" s="22" t="s">
        <v>65</v>
      </c>
      <c r="C49" s="75">
        <v>120</v>
      </c>
      <c r="D49" s="17">
        <f t="shared" si="20"/>
        <v>1440</v>
      </c>
      <c r="E49" s="17">
        <f t="shared" si="21"/>
        <v>360</v>
      </c>
      <c r="F49" s="23">
        <f t="shared" si="24"/>
        <v>-1080</v>
      </c>
      <c r="G49" s="113">
        <f t="shared" si="23"/>
        <v>2.4514811031664963E-2</v>
      </c>
      <c r="H49" s="508"/>
      <c r="I49" s="13"/>
      <c r="J49" s="27"/>
      <c r="K49" s="27"/>
      <c r="L49" s="27"/>
      <c r="M49" s="18"/>
      <c r="N49" s="68"/>
      <c r="O49" s="6"/>
    </row>
    <row r="50" spans="1:15" s="3" customFormat="1" ht="15" customHeight="1" x14ac:dyDescent="0.35">
      <c r="A50" s="6"/>
      <c r="B50" s="22" t="s">
        <v>66</v>
      </c>
      <c r="C50" s="75">
        <v>260</v>
      </c>
      <c r="D50" s="17">
        <f t="shared" si="20"/>
        <v>3120</v>
      </c>
      <c r="E50" s="17">
        <f t="shared" si="21"/>
        <v>780</v>
      </c>
      <c r="F50" s="23">
        <f t="shared" si="24"/>
        <v>-2340</v>
      </c>
      <c r="G50" s="113">
        <f t="shared" si="23"/>
        <v>5.3115423901940753E-2</v>
      </c>
      <c r="H50" s="509"/>
      <c r="I50" s="60" t="s">
        <v>112</v>
      </c>
      <c r="J50" s="32">
        <f>J48+J43+J38+J30</f>
        <v>-156258.96931850002</v>
      </c>
      <c r="K50" s="32">
        <f>K48+K43+K38+K30</f>
        <v>-44788.44</v>
      </c>
      <c r="L50" s="32">
        <f>L48+L43+L38+L30</f>
        <v>-55656.600000000006</v>
      </c>
      <c r="M50" s="33">
        <f>K50+L50-J50</f>
        <v>55813.929318500013</v>
      </c>
      <c r="N50" s="68"/>
      <c r="O50" s="6"/>
    </row>
    <row r="51" spans="1:15" s="3" customFormat="1" ht="15" customHeight="1" x14ac:dyDescent="0.35">
      <c r="A51" s="6"/>
      <c r="B51" s="22" t="s">
        <v>67</v>
      </c>
      <c r="C51" s="75">
        <v>1000</v>
      </c>
      <c r="D51" s="17">
        <f t="shared" si="20"/>
        <v>12000</v>
      </c>
      <c r="E51" s="17">
        <f t="shared" si="21"/>
        <v>3000</v>
      </c>
      <c r="F51" s="23">
        <f t="shared" si="24"/>
        <v>-9000</v>
      </c>
      <c r="G51" s="113">
        <f t="shared" si="23"/>
        <v>0.20429009193054137</v>
      </c>
      <c r="H51" s="509"/>
      <c r="I51" s="37"/>
      <c r="J51" s="37"/>
      <c r="K51" s="37"/>
      <c r="L51" s="37"/>
      <c r="M51" s="37"/>
      <c r="N51" s="6"/>
    </row>
    <row r="52" spans="1:15" s="3" customFormat="1" ht="15" customHeight="1" x14ac:dyDescent="0.35">
      <c r="A52" s="6"/>
      <c r="B52" s="22" t="s">
        <v>68</v>
      </c>
      <c r="C52" s="75">
        <v>175</v>
      </c>
      <c r="D52" s="17">
        <f t="shared" si="20"/>
        <v>2100</v>
      </c>
      <c r="E52" s="17">
        <f t="shared" si="21"/>
        <v>525</v>
      </c>
      <c r="F52" s="23">
        <f t="shared" si="24"/>
        <v>-1575</v>
      </c>
      <c r="G52" s="113">
        <f t="shared" si="23"/>
        <v>3.5750766087844742E-2</v>
      </c>
      <c r="H52" s="509"/>
      <c r="I52" s="37"/>
      <c r="J52" s="37"/>
      <c r="K52" s="37"/>
      <c r="L52" s="37"/>
      <c r="M52" s="37"/>
      <c r="N52" s="6"/>
    </row>
    <row r="53" spans="1:15" s="3" customFormat="1" ht="15" customHeight="1" x14ac:dyDescent="0.35">
      <c r="A53" s="6"/>
      <c r="B53" s="22" t="s">
        <v>69</v>
      </c>
      <c r="C53" s="75">
        <v>500</v>
      </c>
      <c r="D53" s="17">
        <f t="shared" si="20"/>
        <v>6000</v>
      </c>
      <c r="E53" s="17">
        <f t="shared" si="21"/>
        <v>1500</v>
      </c>
      <c r="F53" s="23">
        <f t="shared" si="24"/>
        <v>-4500</v>
      </c>
      <c r="G53" s="113">
        <f t="shared" si="23"/>
        <v>0.10214504596527069</v>
      </c>
      <c r="H53" s="31"/>
      <c r="I53" s="37"/>
      <c r="J53" s="37"/>
      <c r="K53" s="37"/>
      <c r="L53" s="37"/>
      <c r="M53" s="37"/>
      <c r="N53" s="6"/>
    </row>
    <row r="54" spans="1:15" s="3" customFormat="1" ht="15" customHeight="1" x14ac:dyDescent="0.35">
      <c r="A54" s="6"/>
      <c r="B54" s="22" t="s">
        <v>70</v>
      </c>
      <c r="C54" s="75">
        <v>30</v>
      </c>
      <c r="D54" s="17">
        <f t="shared" si="20"/>
        <v>360</v>
      </c>
      <c r="E54" s="17">
        <f t="shared" si="21"/>
        <v>90</v>
      </c>
      <c r="F54" s="23">
        <f t="shared" si="24"/>
        <v>-270</v>
      </c>
      <c r="G54" s="113">
        <f t="shared" si="23"/>
        <v>6.1287027579162408E-3</v>
      </c>
      <c r="H54" s="508"/>
      <c r="I54" s="37"/>
      <c r="J54" s="37"/>
      <c r="K54" s="37"/>
      <c r="L54" s="37"/>
      <c r="M54" s="37"/>
      <c r="N54" s="6"/>
    </row>
    <row r="55" spans="1:15" s="3" customFormat="1" ht="15" customHeight="1" x14ac:dyDescent="0.35">
      <c r="A55" s="6"/>
      <c r="B55" s="22" t="s">
        <v>71</v>
      </c>
      <c r="C55" s="75">
        <v>300</v>
      </c>
      <c r="D55" s="17">
        <f t="shared" si="20"/>
        <v>3600</v>
      </c>
      <c r="E55" s="17">
        <f t="shared" si="21"/>
        <v>900</v>
      </c>
      <c r="F55" s="23">
        <f t="shared" si="24"/>
        <v>-2700</v>
      </c>
      <c r="G55" s="113">
        <f t="shared" si="23"/>
        <v>6.1287027579162413E-2</v>
      </c>
      <c r="H55" s="509"/>
      <c r="I55" s="37"/>
      <c r="J55" s="37"/>
      <c r="K55" s="37"/>
      <c r="L55" s="37"/>
      <c r="M55" s="37"/>
      <c r="N55" s="6"/>
    </row>
    <row r="56" spans="1:15" s="3" customFormat="1" ht="15" customHeight="1" x14ac:dyDescent="0.35">
      <c r="A56" s="6"/>
      <c r="B56" s="22" t="s">
        <v>72</v>
      </c>
      <c r="C56" s="75">
        <v>360</v>
      </c>
      <c r="D56" s="17">
        <f t="shared" si="20"/>
        <v>4320</v>
      </c>
      <c r="E56" s="17">
        <f t="shared" si="21"/>
        <v>1080</v>
      </c>
      <c r="F56" s="23">
        <f t="shared" ref="F56:F63" si="25">E56-D56</f>
        <v>-3240</v>
      </c>
      <c r="G56" s="113">
        <f t="shared" si="23"/>
        <v>7.3544433094994893E-2</v>
      </c>
      <c r="H56" s="509"/>
      <c r="I56" s="37"/>
      <c r="J56" s="37"/>
      <c r="K56" s="37"/>
      <c r="L56" s="37"/>
      <c r="M56" s="37"/>
      <c r="N56" s="6"/>
    </row>
    <row r="57" spans="1:15" s="3" customFormat="1" ht="15" customHeight="1" x14ac:dyDescent="0.35">
      <c r="A57" s="6"/>
      <c r="B57" s="22" t="s">
        <v>107</v>
      </c>
      <c r="C57" s="75">
        <v>420</v>
      </c>
      <c r="D57" s="17">
        <f t="shared" si="20"/>
        <v>5040</v>
      </c>
      <c r="E57" s="17">
        <f t="shared" si="21"/>
        <v>1260</v>
      </c>
      <c r="F57" s="23">
        <f t="shared" si="25"/>
        <v>-3780</v>
      </c>
      <c r="G57" s="113">
        <f t="shared" si="23"/>
        <v>8.580183861082738E-2</v>
      </c>
      <c r="H57" s="509"/>
      <c r="I57" s="37"/>
      <c r="J57" s="37"/>
      <c r="K57" s="37"/>
      <c r="L57" s="37"/>
      <c r="M57" s="37"/>
      <c r="N57" s="6"/>
    </row>
    <row r="58" spans="1:15" s="3" customFormat="1" ht="15" customHeight="1" x14ac:dyDescent="0.35">
      <c r="A58" s="6"/>
      <c r="B58" s="22" t="s">
        <v>73</v>
      </c>
      <c r="C58" s="75">
        <v>130</v>
      </c>
      <c r="D58" s="17">
        <f t="shared" si="20"/>
        <v>1560</v>
      </c>
      <c r="E58" s="17">
        <f t="shared" si="21"/>
        <v>390</v>
      </c>
      <c r="F58" s="23">
        <f t="shared" si="25"/>
        <v>-1170</v>
      </c>
      <c r="G58" s="113">
        <f t="shared" si="23"/>
        <v>2.6557711950970377E-2</v>
      </c>
      <c r="H58" s="509"/>
      <c r="I58" s="37"/>
      <c r="J58" s="37"/>
      <c r="K58" s="37"/>
      <c r="L58" s="37"/>
      <c r="M58" s="37"/>
      <c r="N58" s="6"/>
    </row>
    <row r="59" spans="1:15" s="3" customFormat="1" ht="15" customHeight="1" x14ac:dyDescent="0.35">
      <c r="A59" s="6"/>
      <c r="B59" s="22" t="s">
        <v>103</v>
      </c>
      <c r="C59" s="75">
        <v>270</v>
      </c>
      <c r="D59" s="17">
        <f t="shared" si="20"/>
        <v>3240</v>
      </c>
      <c r="E59" s="17">
        <f t="shared" si="21"/>
        <v>810</v>
      </c>
      <c r="F59" s="23">
        <f t="shared" si="25"/>
        <v>-2430</v>
      </c>
      <c r="G59" s="113">
        <f t="shared" si="23"/>
        <v>5.515832482124617E-2</v>
      </c>
      <c r="H59" s="509"/>
      <c r="I59" s="37"/>
      <c r="J59" s="37"/>
      <c r="K59" s="37"/>
      <c r="L59" s="37"/>
      <c r="M59" s="37"/>
      <c r="N59" s="6"/>
    </row>
    <row r="60" spans="1:15" s="3" customFormat="1" ht="15" customHeight="1" x14ac:dyDescent="0.35">
      <c r="A60" s="6"/>
      <c r="B60" s="22" t="s">
        <v>74</v>
      </c>
      <c r="C60" s="75">
        <v>300</v>
      </c>
      <c r="D60" s="17">
        <f t="shared" si="20"/>
        <v>3600</v>
      </c>
      <c r="E60" s="17">
        <f t="shared" si="21"/>
        <v>900</v>
      </c>
      <c r="F60" s="23">
        <f t="shared" si="25"/>
        <v>-2700</v>
      </c>
      <c r="G60" s="113">
        <f t="shared" si="23"/>
        <v>6.1287027579162413E-2</v>
      </c>
      <c r="H60" s="509"/>
      <c r="I60" s="37"/>
      <c r="J60" s="37"/>
      <c r="K60" s="37"/>
      <c r="L60" s="37"/>
      <c r="M60" s="6"/>
      <c r="N60" s="6"/>
    </row>
    <row r="61" spans="1:15" s="3" customFormat="1" ht="15" customHeight="1" x14ac:dyDescent="0.35">
      <c r="A61" s="6"/>
      <c r="B61" s="22" t="s">
        <v>75</v>
      </c>
      <c r="C61" s="75">
        <v>180</v>
      </c>
      <c r="D61" s="17">
        <f t="shared" si="20"/>
        <v>2160</v>
      </c>
      <c r="E61" s="17">
        <f t="shared" si="21"/>
        <v>540</v>
      </c>
      <c r="F61" s="23">
        <f t="shared" si="25"/>
        <v>-1620</v>
      </c>
      <c r="G61" s="113">
        <f t="shared" si="23"/>
        <v>3.6772216547497447E-2</v>
      </c>
      <c r="H61" s="509"/>
      <c r="I61" s="6"/>
      <c r="J61" s="6"/>
      <c r="K61" s="6"/>
      <c r="L61" s="6"/>
      <c r="M61" s="6"/>
      <c r="N61" s="6"/>
    </row>
    <row r="62" spans="1:15" s="3" customFormat="1" ht="15" customHeight="1" x14ac:dyDescent="0.35">
      <c r="A62" s="6"/>
      <c r="B62" s="22" t="s">
        <v>76</v>
      </c>
      <c r="C62" s="75">
        <v>200</v>
      </c>
      <c r="D62" s="17">
        <f t="shared" si="20"/>
        <v>2400</v>
      </c>
      <c r="E62" s="17">
        <v>0</v>
      </c>
      <c r="F62" s="23">
        <f t="shared" si="25"/>
        <v>-2400</v>
      </c>
      <c r="G62" s="113">
        <f t="shared" si="23"/>
        <v>0</v>
      </c>
      <c r="H62" s="31"/>
      <c r="I62" s="6"/>
      <c r="J62" s="6"/>
      <c r="K62" s="6"/>
      <c r="L62" s="6"/>
      <c r="M62" s="6"/>
      <c r="N62" s="6"/>
    </row>
    <row r="63" spans="1:15" s="3" customFormat="1" ht="15" customHeight="1" x14ac:dyDescent="0.35">
      <c r="A63" s="6"/>
      <c r="B63" s="22"/>
      <c r="C63" s="75"/>
      <c r="D63" s="25">
        <v>67535</v>
      </c>
      <c r="E63" s="25">
        <f>SUM(E44:E62)</f>
        <v>14685</v>
      </c>
      <c r="F63" s="23">
        <f t="shared" si="25"/>
        <v>-52850</v>
      </c>
      <c r="G63" s="114">
        <f>+E63/$E$97</f>
        <v>0.21117202848528757</v>
      </c>
      <c r="H63" s="508"/>
      <c r="I63" s="6"/>
      <c r="J63" s="6"/>
      <c r="K63" s="6"/>
      <c r="L63" s="6"/>
      <c r="M63" s="6"/>
      <c r="N63" s="6"/>
    </row>
    <row r="64" spans="1:15" s="3" customFormat="1" ht="15" customHeight="1" x14ac:dyDescent="0.35">
      <c r="A64" s="6"/>
      <c r="B64" s="19" t="s">
        <v>12</v>
      </c>
      <c r="C64" s="75"/>
      <c r="D64" s="26"/>
      <c r="E64" s="26"/>
      <c r="F64" s="23"/>
      <c r="G64" s="112"/>
      <c r="H64" s="509"/>
      <c r="I64" s="38"/>
      <c r="J64" s="38"/>
      <c r="K64" s="38"/>
      <c r="L64" s="6"/>
      <c r="M64" s="6"/>
      <c r="N64" s="6"/>
    </row>
    <row r="65" spans="1:14" s="3" customFormat="1" ht="15" customHeight="1" x14ac:dyDescent="0.35">
      <c r="A65" s="6"/>
      <c r="B65" s="22" t="s">
        <v>77</v>
      </c>
      <c r="C65" s="75">
        <v>60</v>
      </c>
      <c r="D65" s="17">
        <f t="shared" ref="D65:D73" si="26">+C65*$D$19</f>
        <v>720</v>
      </c>
      <c r="E65" s="17">
        <f t="shared" ref="E65:E73" si="27">+C65*$E$19</f>
        <v>180</v>
      </c>
      <c r="F65" s="23">
        <f t="shared" ref="F65:F74" si="28">E65-D65</f>
        <v>-540</v>
      </c>
      <c r="G65" s="113">
        <f>+E65/$E$74</f>
        <v>2.8708133971291867E-2</v>
      </c>
      <c r="H65" s="509"/>
      <c r="I65" s="38"/>
      <c r="J65" s="38"/>
      <c r="K65" s="38"/>
      <c r="L65" s="6"/>
      <c r="M65" s="6"/>
      <c r="N65" s="6"/>
    </row>
    <row r="66" spans="1:14" s="3" customFormat="1" ht="15" customHeight="1" x14ac:dyDescent="0.35">
      <c r="A66" s="6"/>
      <c r="B66" s="22" t="s">
        <v>78</v>
      </c>
      <c r="C66" s="75">
        <v>60</v>
      </c>
      <c r="D66" s="17">
        <f t="shared" si="26"/>
        <v>720</v>
      </c>
      <c r="E66" s="17">
        <f t="shared" si="27"/>
        <v>180</v>
      </c>
      <c r="F66" s="23">
        <f t="shared" si="28"/>
        <v>-540</v>
      </c>
      <c r="G66" s="113">
        <f t="shared" ref="G66:G73" si="29">+E66/$E$74</f>
        <v>2.8708133971291867E-2</v>
      </c>
      <c r="H66" s="509"/>
      <c r="I66" s="38"/>
      <c r="J66" s="38"/>
      <c r="K66" s="38"/>
      <c r="L66" s="6"/>
      <c r="M66" s="6"/>
      <c r="N66" s="6"/>
    </row>
    <row r="67" spans="1:14" s="3" customFormat="1" ht="15" customHeight="1" x14ac:dyDescent="0.35">
      <c r="A67" s="6"/>
      <c r="B67" s="22" t="s">
        <v>79</v>
      </c>
      <c r="C67" s="75">
        <v>450</v>
      </c>
      <c r="D67" s="17">
        <f t="shared" si="26"/>
        <v>5400</v>
      </c>
      <c r="E67" s="17">
        <f t="shared" si="27"/>
        <v>1350</v>
      </c>
      <c r="F67" s="23">
        <f t="shared" si="28"/>
        <v>-4050</v>
      </c>
      <c r="G67" s="113">
        <f t="shared" si="29"/>
        <v>0.21531100478468901</v>
      </c>
      <c r="H67" s="509"/>
      <c r="I67" s="38"/>
      <c r="J67" s="38"/>
      <c r="K67" s="38"/>
      <c r="L67" s="6"/>
      <c r="M67" s="6"/>
      <c r="N67" s="6"/>
    </row>
    <row r="68" spans="1:14" s="3" customFormat="1" ht="15" customHeight="1" x14ac:dyDescent="0.35">
      <c r="A68" s="6"/>
      <c r="B68" s="22" t="s">
        <v>80</v>
      </c>
      <c r="C68" s="75">
        <v>150</v>
      </c>
      <c r="D68" s="17">
        <f t="shared" si="26"/>
        <v>1800</v>
      </c>
      <c r="E68" s="17">
        <f t="shared" si="27"/>
        <v>450</v>
      </c>
      <c r="F68" s="23">
        <f t="shared" si="28"/>
        <v>-1350</v>
      </c>
      <c r="G68" s="113">
        <f t="shared" si="29"/>
        <v>7.1770334928229665E-2</v>
      </c>
      <c r="H68" s="36"/>
      <c r="I68" s="38"/>
      <c r="J68" s="38"/>
      <c r="K68" s="38"/>
      <c r="L68" s="6"/>
      <c r="M68" s="6"/>
      <c r="N68" s="6"/>
    </row>
    <row r="69" spans="1:14" s="3" customFormat="1" ht="15" customHeight="1" x14ac:dyDescent="0.35">
      <c r="A69" s="6"/>
      <c r="B69" s="22" t="s">
        <v>81</v>
      </c>
      <c r="C69" s="75">
        <v>80</v>
      </c>
      <c r="D69" s="17">
        <f t="shared" si="26"/>
        <v>960</v>
      </c>
      <c r="E69" s="17">
        <f t="shared" si="27"/>
        <v>240</v>
      </c>
      <c r="F69" s="23">
        <f t="shared" si="28"/>
        <v>-720</v>
      </c>
      <c r="G69" s="113">
        <f t="shared" si="29"/>
        <v>3.8277511961722487E-2</v>
      </c>
      <c r="H69" s="31"/>
      <c r="I69" s="38"/>
      <c r="J69" s="38"/>
      <c r="K69" s="38"/>
      <c r="L69" s="6"/>
      <c r="M69" s="6"/>
      <c r="N69" s="6"/>
    </row>
    <row r="70" spans="1:14" s="3" customFormat="1" ht="14.5" customHeight="1" x14ac:dyDescent="0.35">
      <c r="A70" s="6"/>
      <c r="B70" s="22" t="s">
        <v>98</v>
      </c>
      <c r="C70" s="75">
        <v>210</v>
      </c>
      <c r="D70" s="17">
        <f t="shared" si="26"/>
        <v>2520</v>
      </c>
      <c r="E70" s="17">
        <f t="shared" si="27"/>
        <v>630</v>
      </c>
      <c r="F70" s="23">
        <f t="shared" si="28"/>
        <v>-1890</v>
      </c>
      <c r="G70" s="113">
        <f t="shared" si="29"/>
        <v>0.10047846889952153</v>
      </c>
      <c r="H70" s="508"/>
      <c r="I70" s="6"/>
      <c r="J70" s="6"/>
      <c r="K70" s="6"/>
      <c r="L70" s="6"/>
      <c r="M70" s="6"/>
      <c r="N70" s="6"/>
    </row>
    <row r="71" spans="1:14" s="3" customFormat="1" ht="14.5" customHeight="1" x14ac:dyDescent="0.35">
      <c r="A71" s="6"/>
      <c r="B71" s="22" t="s">
        <v>100</v>
      </c>
      <c r="C71" s="75">
        <v>800</v>
      </c>
      <c r="D71" s="17">
        <f t="shared" si="26"/>
        <v>9600</v>
      </c>
      <c r="E71" s="17">
        <f t="shared" si="27"/>
        <v>2400</v>
      </c>
      <c r="F71" s="23">
        <f t="shared" si="28"/>
        <v>-7200</v>
      </c>
      <c r="G71" s="113">
        <f t="shared" si="29"/>
        <v>0.38277511961722488</v>
      </c>
      <c r="H71" s="509"/>
      <c r="I71" s="6"/>
      <c r="J71" s="6"/>
      <c r="K71" s="6"/>
      <c r="L71" s="6"/>
      <c r="M71" s="6"/>
      <c r="N71" s="6"/>
    </row>
    <row r="72" spans="1:14" s="3" customFormat="1" ht="14.5" customHeight="1" x14ac:dyDescent="0.35">
      <c r="A72" s="6"/>
      <c r="B72" s="22" t="s">
        <v>82</v>
      </c>
      <c r="C72" s="75">
        <v>190</v>
      </c>
      <c r="D72" s="17">
        <f t="shared" si="26"/>
        <v>2280</v>
      </c>
      <c r="E72" s="17">
        <f t="shared" si="27"/>
        <v>570</v>
      </c>
      <c r="F72" s="23">
        <f t="shared" si="28"/>
        <v>-1710</v>
      </c>
      <c r="G72" s="113">
        <f t="shared" si="29"/>
        <v>9.0909090909090912E-2</v>
      </c>
      <c r="H72" s="509"/>
      <c r="I72" s="6"/>
      <c r="J72" s="6"/>
      <c r="K72" s="6"/>
      <c r="L72" s="6"/>
      <c r="M72" s="6"/>
      <c r="N72" s="6"/>
    </row>
    <row r="73" spans="1:14" s="3" customFormat="1" ht="14.5" customHeight="1" x14ac:dyDescent="0.35">
      <c r="A73" s="6"/>
      <c r="B73" s="22" t="s">
        <v>83</v>
      </c>
      <c r="C73" s="75">
        <v>90</v>
      </c>
      <c r="D73" s="17">
        <f t="shared" si="26"/>
        <v>1080</v>
      </c>
      <c r="E73" s="17">
        <f t="shared" si="27"/>
        <v>270</v>
      </c>
      <c r="F73" s="23">
        <f t="shared" si="28"/>
        <v>-810</v>
      </c>
      <c r="G73" s="113">
        <f t="shared" si="29"/>
        <v>4.3062200956937802E-2</v>
      </c>
      <c r="H73" s="509"/>
      <c r="I73" s="6"/>
      <c r="J73" s="6"/>
      <c r="K73" s="6"/>
      <c r="L73" s="6"/>
      <c r="M73" s="6"/>
      <c r="N73" s="6"/>
    </row>
    <row r="74" spans="1:14" s="3" customFormat="1" ht="14.5" customHeight="1" x14ac:dyDescent="0.35">
      <c r="A74" s="6"/>
      <c r="B74" s="22"/>
      <c r="C74" s="75"/>
      <c r="D74" s="25">
        <v>26520</v>
      </c>
      <c r="E74" s="25">
        <f>SUM(E65:E73)</f>
        <v>6270</v>
      </c>
      <c r="F74" s="23">
        <f t="shared" si="28"/>
        <v>-20250</v>
      </c>
      <c r="G74" s="114">
        <f>+E74/$E$97</f>
        <v>9.0163338004954255E-2</v>
      </c>
      <c r="H74" s="509"/>
      <c r="I74" s="6"/>
      <c r="J74" s="6"/>
      <c r="K74" s="6"/>
      <c r="L74" s="6"/>
      <c r="M74" s="6"/>
      <c r="N74" s="6"/>
    </row>
    <row r="75" spans="1:14" s="3" customFormat="1" ht="14.5" customHeight="1" x14ac:dyDescent="0.35">
      <c r="A75" s="6"/>
      <c r="B75" s="19" t="s">
        <v>13</v>
      </c>
      <c r="C75" s="75"/>
      <c r="D75" s="26"/>
      <c r="E75" s="26"/>
      <c r="F75" s="23"/>
      <c r="G75" s="112"/>
      <c r="H75" s="509"/>
      <c r="I75" s="6"/>
      <c r="J75" s="6"/>
      <c r="K75" s="6"/>
      <c r="L75" s="6"/>
      <c r="M75" s="6"/>
      <c r="N75" s="6"/>
    </row>
    <row r="76" spans="1:14" s="3" customFormat="1" ht="14.5" customHeight="1" x14ac:dyDescent="0.35">
      <c r="A76" s="6"/>
      <c r="B76" s="22" t="s">
        <v>84</v>
      </c>
      <c r="C76" s="75">
        <v>42</v>
      </c>
      <c r="D76" s="17">
        <f t="shared" ref="D76:D85" si="30">+C76*$D$19</f>
        <v>504</v>
      </c>
      <c r="E76" s="17">
        <f t="shared" ref="E76:E85" si="31">+C76*$E$19</f>
        <v>126</v>
      </c>
      <c r="F76" s="23">
        <f t="shared" ref="F76:F86" si="32">E76-D76</f>
        <v>-378</v>
      </c>
      <c r="G76" s="113">
        <f>+E76/$E$86</f>
        <v>4.2296072507552872E-2</v>
      </c>
      <c r="H76" s="509"/>
      <c r="I76" s="6"/>
      <c r="J76" s="6"/>
      <c r="K76" s="6"/>
      <c r="L76" s="6"/>
      <c r="M76" s="6"/>
      <c r="N76" s="6"/>
    </row>
    <row r="77" spans="1:14" s="3" customFormat="1" ht="14.5" customHeight="1" x14ac:dyDescent="0.35">
      <c r="A77" s="6"/>
      <c r="B77" s="22" t="s">
        <v>85</v>
      </c>
      <c r="C77" s="75">
        <v>0</v>
      </c>
      <c r="D77" s="17">
        <f t="shared" si="30"/>
        <v>0</v>
      </c>
      <c r="E77" s="17">
        <f t="shared" si="31"/>
        <v>0</v>
      </c>
      <c r="F77" s="23">
        <f t="shared" si="32"/>
        <v>0</v>
      </c>
      <c r="G77" s="113">
        <f t="shared" ref="G77:G85" si="33">+E77/$E$86</f>
        <v>0</v>
      </c>
      <c r="H77" s="4"/>
      <c r="I77" s="6"/>
      <c r="J77" s="6"/>
      <c r="K77" s="6"/>
      <c r="L77" s="6"/>
      <c r="M77" s="6"/>
      <c r="N77" s="6"/>
    </row>
    <row r="78" spans="1:14" s="3" customFormat="1" ht="14.5" customHeight="1" x14ac:dyDescent="0.35">
      <c r="A78" s="6"/>
      <c r="B78" s="22" t="s">
        <v>86</v>
      </c>
      <c r="C78" s="75">
        <v>129</v>
      </c>
      <c r="D78" s="17">
        <f t="shared" si="30"/>
        <v>1548</v>
      </c>
      <c r="E78" s="17">
        <f t="shared" si="31"/>
        <v>387</v>
      </c>
      <c r="F78" s="23">
        <f t="shared" si="32"/>
        <v>-1161</v>
      </c>
      <c r="G78" s="113">
        <f t="shared" si="33"/>
        <v>0.12990936555891239</v>
      </c>
      <c r="H78" s="510"/>
      <c r="I78" s="6"/>
      <c r="J78" s="6"/>
      <c r="K78" s="6"/>
      <c r="L78" s="6"/>
      <c r="M78" s="6"/>
      <c r="N78" s="6"/>
    </row>
    <row r="79" spans="1:14" s="3" customFormat="1" ht="14.5" customHeight="1" x14ac:dyDescent="0.35">
      <c r="A79" s="6"/>
      <c r="B79" s="22" t="s">
        <v>99</v>
      </c>
      <c r="C79" s="75">
        <v>140</v>
      </c>
      <c r="D79" s="17">
        <f t="shared" si="30"/>
        <v>1680</v>
      </c>
      <c r="E79" s="17">
        <f t="shared" si="31"/>
        <v>420</v>
      </c>
      <c r="F79" s="23">
        <f t="shared" si="32"/>
        <v>-1260</v>
      </c>
      <c r="G79" s="113">
        <f t="shared" si="33"/>
        <v>0.14098690835850958</v>
      </c>
      <c r="H79" s="511"/>
      <c r="I79" s="6"/>
      <c r="J79" s="6"/>
      <c r="K79" s="6"/>
      <c r="L79" s="6"/>
      <c r="M79" s="6"/>
      <c r="N79" s="6"/>
    </row>
    <row r="80" spans="1:14" s="3" customFormat="1" ht="15.75" customHeight="1" x14ac:dyDescent="0.35">
      <c r="A80" s="6"/>
      <c r="B80" s="22" t="s">
        <v>87</v>
      </c>
      <c r="C80" s="75">
        <v>98</v>
      </c>
      <c r="D80" s="17">
        <f t="shared" si="30"/>
        <v>1176</v>
      </c>
      <c r="E80" s="17">
        <f t="shared" si="31"/>
        <v>294</v>
      </c>
      <c r="F80" s="23">
        <f t="shared" si="32"/>
        <v>-882</v>
      </c>
      <c r="G80" s="113">
        <f t="shared" si="33"/>
        <v>9.8690835850956699E-2</v>
      </c>
      <c r="H80" s="511"/>
      <c r="I80" s="6"/>
      <c r="J80" s="6"/>
      <c r="K80" s="6"/>
      <c r="L80" s="6"/>
      <c r="M80" s="6"/>
      <c r="N80" s="6"/>
    </row>
    <row r="81" spans="1:14" s="3" customFormat="1" ht="15.75" customHeight="1" x14ac:dyDescent="0.35">
      <c r="A81" s="6"/>
      <c r="B81" s="22" t="s">
        <v>88</v>
      </c>
      <c r="C81" s="75">
        <v>150</v>
      </c>
      <c r="D81" s="17">
        <f t="shared" si="30"/>
        <v>1800</v>
      </c>
      <c r="E81" s="17">
        <f t="shared" si="31"/>
        <v>450</v>
      </c>
      <c r="F81" s="23">
        <f t="shared" si="32"/>
        <v>-1350</v>
      </c>
      <c r="G81" s="113">
        <f t="shared" si="33"/>
        <v>0.15105740181268881</v>
      </c>
      <c r="H81" s="511"/>
      <c r="I81" s="6"/>
      <c r="J81" s="6"/>
      <c r="K81" s="6"/>
      <c r="L81" s="6"/>
      <c r="M81" s="6"/>
      <c r="N81" s="6"/>
    </row>
    <row r="82" spans="1:14" s="3" customFormat="1" ht="15.75" customHeight="1" x14ac:dyDescent="0.35">
      <c r="A82" s="6"/>
      <c r="B82" s="22" t="s">
        <v>89</v>
      </c>
      <c r="C82" s="75">
        <v>70</v>
      </c>
      <c r="D82" s="17">
        <f t="shared" si="30"/>
        <v>840</v>
      </c>
      <c r="E82" s="17">
        <f t="shared" si="31"/>
        <v>210</v>
      </c>
      <c r="F82" s="23">
        <f t="shared" si="32"/>
        <v>-630</v>
      </c>
      <c r="G82" s="113">
        <f t="shared" si="33"/>
        <v>7.0493454179254789E-2</v>
      </c>
      <c r="H82" s="511"/>
      <c r="I82" s="6"/>
      <c r="J82" s="6"/>
      <c r="K82" s="6"/>
      <c r="L82" s="6"/>
      <c r="M82" s="6"/>
      <c r="N82" s="6"/>
    </row>
    <row r="83" spans="1:14" s="3" customFormat="1" ht="15.75" customHeight="1" x14ac:dyDescent="0.35">
      <c r="A83" s="6"/>
      <c r="B83" s="22" t="s">
        <v>90</v>
      </c>
      <c r="C83" s="75">
        <v>99</v>
      </c>
      <c r="D83" s="17">
        <f t="shared" si="30"/>
        <v>1188</v>
      </c>
      <c r="E83" s="17">
        <f t="shared" si="31"/>
        <v>297</v>
      </c>
      <c r="F83" s="23">
        <f t="shared" si="32"/>
        <v>-891</v>
      </c>
      <c r="G83" s="113">
        <f t="shared" si="33"/>
        <v>9.9697885196374625E-2</v>
      </c>
      <c r="H83" s="511"/>
      <c r="I83" s="6"/>
      <c r="J83" s="6"/>
      <c r="K83" s="6"/>
      <c r="L83" s="6"/>
      <c r="M83" s="6"/>
      <c r="N83" s="6"/>
    </row>
    <row r="84" spans="1:14" s="3" customFormat="1" ht="15.75" customHeight="1" x14ac:dyDescent="0.35">
      <c r="A84" s="6"/>
      <c r="B84" s="22" t="s">
        <v>91</v>
      </c>
      <c r="C84" s="75">
        <v>195</v>
      </c>
      <c r="D84" s="17">
        <f t="shared" si="30"/>
        <v>2340</v>
      </c>
      <c r="E84" s="17">
        <f t="shared" si="31"/>
        <v>585</v>
      </c>
      <c r="F84" s="23">
        <f t="shared" si="32"/>
        <v>-1755</v>
      </c>
      <c r="G84" s="113">
        <f t="shared" si="33"/>
        <v>0.19637462235649547</v>
      </c>
      <c r="H84" s="511"/>
      <c r="I84" s="6"/>
      <c r="J84" s="6"/>
      <c r="K84" s="6"/>
      <c r="L84" s="6"/>
      <c r="M84" s="6"/>
      <c r="N84" s="6"/>
    </row>
    <row r="85" spans="1:14" s="3" customFormat="1" ht="15.75" customHeight="1" x14ac:dyDescent="0.35">
      <c r="A85" s="6"/>
      <c r="B85" s="22" t="s">
        <v>104</v>
      </c>
      <c r="C85" s="75">
        <v>70</v>
      </c>
      <c r="D85" s="17">
        <f t="shared" si="30"/>
        <v>840</v>
      </c>
      <c r="E85" s="17">
        <f t="shared" si="31"/>
        <v>210</v>
      </c>
      <c r="F85" s="23">
        <f t="shared" si="32"/>
        <v>-630</v>
      </c>
      <c r="G85" s="113">
        <f t="shared" si="33"/>
        <v>7.0493454179254789E-2</v>
      </c>
      <c r="H85" s="2"/>
      <c r="I85" s="6"/>
      <c r="J85" s="6"/>
      <c r="K85" s="6"/>
      <c r="L85" s="6"/>
      <c r="M85" s="6"/>
      <c r="N85" s="6"/>
    </row>
    <row r="86" spans="1:14" s="3" customFormat="1" ht="15.5" customHeight="1" x14ac:dyDescent="0.35">
      <c r="A86" s="6"/>
      <c r="B86" s="22"/>
      <c r="C86" s="75"/>
      <c r="D86" s="25">
        <v>11908</v>
      </c>
      <c r="E86" s="25">
        <f>SUM(E76:E85)</f>
        <v>2979</v>
      </c>
      <c r="F86" s="23">
        <f t="shared" si="32"/>
        <v>-8929</v>
      </c>
      <c r="G86" s="114">
        <f>+E86/$E$97</f>
        <v>4.2838370640631375E-2</v>
      </c>
      <c r="H86" s="6"/>
      <c r="I86" s="6"/>
      <c r="J86" s="6"/>
      <c r="K86" s="6"/>
      <c r="L86" s="6"/>
      <c r="M86" s="6"/>
      <c r="N86" s="6"/>
    </row>
    <row r="87" spans="1:14" s="3" customFormat="1" ht="15.5" customHeight="1" x14ac:dyDescent="0.35">
      <c r="A87" s="6"/>
      <c r="B87" s="22"/>
      <c r="C87" s="75"/>
      <c r="D87" s="26"/>
      <c r="E87" s="26"/>
      <c r="F87" s="23"/>
      <c r="G87" s="114"/>
      <c r="H87" s="6"/>
      <c r="I87" s="6"/>
      <c r="J87" s="6"/>
      <c r="K87" s="6"/>
      <c r="L87" s="6"/>
      <c r="M87" s="6"/>
      <c r="N87" s="6"/>
    </row>
    <row r="88" spans="1:14" s="3" customFormat="1" ht="15.75" customHeight="1" x14ac:dyDescent="0.35">
      <c r="A88" s="6"/>
      <c r="B88" s="19" t="s">
        <v>413</v>
      </c>
      <c r="C88" s="75"/>
      <c r="D88" s="111">
        <f>+D86+D74+D63+D42+D36+D30+D24</f>
        <v>132353</v>
      </c>
      <c r="E88" s="111">
        <f>+'TRI1'!D3+'TRI2'!D3</f>
        <v>60673.009999999995</v>
      </c>
      <c r="F88" s="23"/>
      <c r="G88" s="115">
        <f>+E88/E97</f>
        <v>0.87248502526442884</v>
      </c>
      <c r="H88" s="6"/>
      <c r="I88" s="6"/>
      <c r="J88" s="6"/>
      <c r="K88" s="6"/>
      <c r="L88" s="6"/>
      <c r="M88" s="6"/>
      <c r="N88" s="6"/>
    </row>
    <row r="89" spans="1:14" s="3" customFormat="1" ht="15.75" customHeight="1" x14ac:dyDescent="0.35">
      <c r="A89" s="6"/>
      <c r="B89" s="22"/>
      <c r="C89" s="75"/>
      <c r="D89" s="26"/>
      <c r="E89" s="26"/>
      <c r="F89" s="23"/>
      <c r="G89" s="114"/>
      <c r="H89" s="6"/>
      <c r="I89" s="6"/>
      <c r="J89" s="6"/>
      <c r="K89" s="6"/>
      <c r="L89" s="6"/>
      <c r="M89" s="6"/>
      <c r="N89" s="6"/>
    </row>
    <row r="90" spans="1:14" s="3" customFormat="1" ht="15.75" customHeight="1" x14ac:dyDescent="0.35">
      <c r="A90" s="6"/>
      <c r="B90" s="19" t="s">
        <v>14</v>
      </c>
      <c r="C90" s="75"/>
      <c r="D90" s="26"/>
      <c r="E90" s="26"/>
      <c r="F90" s="23"/>
      <c r="G90" s="112"/>
      <c r="H90" s="6"/>
      <c r="I90" s="6"/>
      <c r="J90" s="6"/>
      <c r="K90" s="6"/>
      <c r="L90" s="6"/>
      <c r="M90" s="6"/>
      <c r="N90" s="6"/>
    </row>
    <row r="91" spans="1:14" s="3" customFormat="1" ht="15.75" customHeight="1" x14ac:dyDescent="0.35">
      <c r="A91" s="6"/>
      <c r="B91" s="22" t="s">
        <v>15</v>
      </c>
      <c r="C91" s="75"/>
      <c r="D91" s="17">
        <v>0</v>
      </c>
      <c r="E91" s="17">
        <f>+'TRI1'!D6</f>
        <v>200</v>
      </c>
      <c r="F91" s="23">
        <f t="shared" ref="F91:F95" si="34">E91-D91</f>
        <v>200</v>
      </c>
      <c r="G91" s="114">
        <f>+E91/$E$97</f>
        <v>2.8760235408278869E-3</v>
      </c>
      <c r="H91" s="6"/>
      <c r="I91" s="6"/>
      <c r="J91" s="6"/>
      <c r="K91" s="6"/>
      <c r="L91" s="6"/>
      <c r="M91" s="6"/>
      <c r="N91" s="6"/>
    </row>
    <row r="92" spans="1:14" s="3" customFormat="1" ht="15.75" customHeight="1" x14ac:dyDescent="0.35">
      <c r="A92" s="6"/>
      <c r="B92" s="22" t="s">
        <v>17</v>
      </c>
      <c r="C92" s="75"/>
      <c r="D92" s="17">
        <v>28794</v>
      </c>
      <c r="E92" s="17">
        <f>SUMIF(Tabela1[Categoria Receita],'Orçado x Realizado'!B92,Tabela1[Valor])</f>
        <v>0</v>
      </c>
      <c r="F92" s="23">
        <f t="shared" si="34"/>
        <v>-28794</v>
      </c>
      <c r="G92" s="114">
        <f t="shared" ref="G92:G94" si="35">+E92/$E$97</f>
        <v>0</v>
      </c>
      <c r="H92" s="6"/>
      <c r="I92" s="6"/>
      <c r="J92" s="6"/>
      <c r="K92" s="6"/>
      <c r="L92" s="6"/>
      <c r="M92" s="6"/>
      <c r="N92" s="6"/>
    </row>
    <row r="93" spans="1:14" s="3" customFormat="1" ht="15.75" customHeight="1" x14ac:dyDescent="0.35">
      <c r="A93" s="6"/>
      <c r="B93" s="22" t="s">
        <v>16</v>
      </c>
      <c r="C93" s="75"/>
      <c r="D93" s="17">
        <v>6801.11</v>
      </c>
      <c r="E93" s="17">
        <f>+'TRI1'!D17+'TRI2'!D5</f>
        <v>8667.4500000000007</v>
      </c>
      <c r="F93" s="23">
        <f t="shared" si="34"/>
        <v>1866.3400000000011</v>
      </c>
      <c r="G93" s="114">
        <f t="shared" si="35"/>
        <v>0.12463895119474334</v>
      </c>
      <c r="H93" s="6"/>
      <c r="I93" s="6"/>
      <c r="J93" s="6"/>
      <c r="K93" s="6"/>
      <c r="L93" s="6"/>
      <c r="M93" s="6"/>
      <c r="N93" s="6"/>
    </row>
    <row r="94" spans="1:14" s="3" customFormat="1" ht="15.75" customHeight="1" x14ac:dyDescent="0.35">
      <c r="A94" s="6"/>
      <c r="B94" s="22" t="s">
        <v>18</v>
      </c>
      <c r="C94" s="75"/>
      <c r="D94" s="17">
        <v>0</v>
      </c>
      <c r="E94" s="17">
        <f>SUMIF(Tabela1[Categoria Receita],'Orçado x Realizado'!B94,Tabela1[Valor])</f>
        <v>0</v>
      </c>
      <c r="F94" s="23">
        <f t="shared" si="34"/>
        <v>0</v>
      </c>
      <c r="G94" s="114">
        <f t="shared" si="35"/>
        <v>0</v>
      </c>
      <c r="H94" s="6"/>
      <c r="I94" s="6"/>
      <c r="J94" s="6"/>
      <c r="K94" s="6"/>
      <c r="L94" s="6"/>
      <c r="N94" s="6"/>
    </row>
    <row r="95" spans="1:14" s="3" customFormat="1" ht="15.75" customHeight="1" x14ac:dyDescent="0.35">
      <c r="A95" s="6"/>
      <c r="B95" s="22"/>
      <c r="C95" s="20"/>
      <c r="D95" s="25">
        <f>SUM(D91:D94)</f>
        <v>35595.11</v>
      </c>
      <c r="E95" s="25">
        <f>SUM(E91:E94)</f>
        <v>8867.4500000000007</v>
      </c>
      <c r="F95" s="23">
        <f t="shared" si="34"/>
        <v>-26727.66</v>
      </c>
      <c r="G95" s="69"/>
      <c r="H95" s="6"/>
      <c r="N95" s="6"/>
    </row>
    <row r="96" spans="1:14" s="3" customFormat="1" ht="15.75" customHeight="1" x14ac:dyDescent="0.35">
      <c r="A96" s="6"/>
      <c r="B96" s="22"/>
      <c r="C96" s="20"/>
      <c r="D96" s="26"/>
      <c r="E96" s="26"/>
      <c r="F96" s="23"/>
      <c r="G96" s="67"/>
      <c r="H96" s="6"/>
      <c r="N96" s="6"/>
    </row>
    <row r="97" spans="1:14" s="3" customFormat="1" ht="15.75" customHeight="1" x14ac:dyDescent="0.35">
      <c r="A97" s="6"/>
      <c r="B97" s="59" t="s">
        <v>113</v>
      </c>
      <c r="C97" s="73"/>
      <c r="D97" s="34">
        <f>+D24+D30+D36+D42+D63+D74+D86+D95</f>
        <v>167948.11</v>
      </c>
      <c r="E97" s="34">
        <f>+E95+E88</f>
        <v>69540.459999999992</v>
      </c>
      <c r="F97" s="35">
        <f t="shared" si="2"/>
        <v>-98407.65</v>
      </c>
      <c r="G97" s="67"/>
      <c r="H97" s="6"/>
      <c r="I97" s="122"/>
      <c r="N97" s="6"/>
    </row>
    <row r="98" spans="1:14" s="3" customFormat="1" ht="15.75" customHeight="1" x14ac:dyDescent="0.35">
      <c r="A98" s="6"/>
      <c r="B98" s="6"/>
      <c r="C98" s="6"/>
      <c r="D98" s="116"/>
      <c r="E98" s="6"/>
      <c r="F98" s="6"/>
      <c r="G98" s="6"/>
      <c r="H98" s="6"/>
    </row>
    <row r="99" spans="1:14" s="3" customFormat="1" ht="15.75" customHeight="1" x14ac:dyDescent="0.35"/>
    <row r="100" spans="1:14" s="3" customFormat="1" ht="15.75" customHeight="1" x14ac:dyDescent="0.35"/>
    <row r="101" spans="1:14" s="3" customFormat="1" ht="15.75" customHeight="1" x14ac:dyDescent="0.35"/>
    <row r="102" spans="1:14" s="3" customFormat="1" ht="15.75" customHeight="1" x14ac:dyDescent="0.35"/>
    <row r="103" spans="1:14" s="3" customFormat="1" ht="15.75" customHeight="1" x14ac:dyDescent="0.35"/>
    <row r="104" spans="1:14" s="3" customFormat="1" ht="15.75" customHeight="1" x14ac:dyDescent="0.35"/>
    <row r="105" spans="1:14" s="3" customFormat="1" ht="15.75" customHeight="1" x14ac:dyDescent="0.35"/>
    <row r="106" spans="1:14" s="3" customFormat="1" ht="15.75" customHeight="1" x14ac:dyDescent="0.35"/>
    <row r="107" spans="1:14" s="3" customFormat="1" ht="15.75" customHeight="1" x14ac:dyDescent="0.35"/>
    <row r="108" spans="1:14" s="3" customFormat="1" ht="15.75" customHeight="1" x14ac:dyDescent="0.35"/>
    <row r="109" spans="1:14" s="3" customFormat="1" ht="15.75" customHeight="1" x14ac:dyDescent="0.35"/>
    <row r="110" spans="1:14" s="3" customFormat="1" ht="15.75" customHeight="1" x14ac:dyDescent="0.35"/>
    <row r="111" spans="1:14" s="3" customFormat="1" ht="15.75" customHeight="1" x14ac:dyDescent="0.35"/>
    <row r="112" spans="1:14" s="3" customFormat="1" ht="15.75" customHeight="1" x14ac:dyDescent="0.35"/>
    <row r="113" spans="9:13" s="3" customFormat="1" ht="15.75" customHeight="1" x14ac:dyDescent="0.35"/>
    <row r="114" spans="9:13" s="3" customFormat="1" ht="15.75" customHeight="1" x14ac:dyDescent="0.35"/>
    <row r="115" spans="9:13" s="3" customFormat="1" ht="15.75" customHeight="1" x14ac:dyDescent="0.35"/>
    <row r="116" spans="9:13" s="3" customFormat="1" ht="15.75" customHeight="1" x14ac:dyDescent="0.35"/>
    <row r="117" spans="9:13" s="3" customFormat="1" ht="15.75" customHeight="1" x14ac:dyDescent="0.35"/>
    <row r="118" spans="9:13" s="3" customFormat="1" ht="15.75" customHeight="1" x14ac:dyDescent="0.35"/>
    <row r="119" spans="9:13" s="3" customFormat="1" ht="15.75" customHeight="1" x14ac:dyDescent="0.35"/>
    <row r="120" spans="9:13" s="3" customFormat="1" ht="15.75" customHeight="1" x14ac:dyDescent="0.35"/>
    <row r="121" spans="9:13" s="3" customFormat="1" ht="15.75" customHeight="1" x14ac:dyDescent="0.35"/>
    <row r="122" spans="9:13" s="3" customFormat="1" ht="15.75" customHeight="1" x14ac:dyDescent="0.35"/>
    <row r="123" spans="9:13" s="3" customFormat="1" ht="15.75" customHeight="1" x14ac:dyDescent="0.35">
      <c r="M123"/>
    </row>
    <row r="124" spans="9:13" s="3" customFormat="1" ht="15.75" customHeight="1" x14ac:dyDescent="0.35">
      <c r="I124"/>
      <c r="J124"/>
      <c r="K124"/>
      <c r="L124"/>
      <c r="M124"/>
    </row>
    <row r="125" spans="9:13" s="3" customFormat="1" ht="15.75" customHeight="1" x14ac:dyDescent="0.35">
      <c r="I125"/>
      <c r="J125"/>
      <c r="K125"/>
      <c r="L125"/>
      <c r="M125"/>
    </row>
    <row r="126" spans="9:13" s="3" customFormat="1" ht="15.75" customHeight="1" x14ac:dyDescent="0.35">
      <c r="I126"/>
      <c r="J126"/>
      <c r="K126"/>
      <c r="L126"/>
      <c r="M126"/>
    </row>
    <row r="127" spans="9:13" s="3" customFormat="1" ht="15.75" customHeight="1" x14ac:dyDescent="0.35">
      <c r="I127"/>
      <c r="J127"/>
      <c r="K127"/>
      <c r="L127"/>
      <c r="M127"/>
    </row>
    <row r="128" spans="9:13" s="3" customFormat="1" ht="15.75" customHeight="1" x14ac:dyDescent="0.35">
      <c r="I128"/>
      <c r="J128"/>
      <c r="K128"/>
      <c r="L128"/>
      <c r="M128"/>
    </row>
    <row r="129" spans="2:14" s="3" customFormat="1" ht="15.75" customHeight="1" x14ac:dyDescent="0.35">
      <c r="I129"/>
      <c r="J129"/>
      <c r="K129"/>
      <c r="L129"/>
      <c r="M129"/>
    </row>
    <row r="130" spans="2:14" s="3" customFormat="1" ht="15.75" customHeight="1" x14ac:dyDescent="0.35">
      <c r="I130"/>
      <c r="J130"/>
      <c r="K130"/>
      <c r="L130"/>
      <c r="M130"/>
    </row>
    <row r="131" spans="2:14" s="3" customFormat="1" ht="15.75" customHeight="1" x14ac:dyDescent="0.35">
      <c r="I131"/>
      <c r="J131"/>
      <c r="K131"/>
      <c r="L131"/>
      <c r="M131"/>
    </row>
    <row r="132" spans="2:14" s="3" customFormat="1" ht="15.75" customHeight="1" x14ac:dyDescent="0.35">
      <c r="I132"/>
      <c r="J132"/>
      <c r="K132"/>
      <c r="L132"/>
      <c r="M132"/>
    </row>
    <row r="133" spans="2:14" s="3" customFormat="1" ht="15.75" customHeight="1" x14ac:dyDescent="0.35">
      <c r="I133"/>
      <c r="J133"/>
      <c r="K133"/>
      <c r="L133"/>
      <c r="M133"/>
    </row>
    <row r="134" spans="2:14" s="3" customFormat="1" ht="15.75" customHeight="1" x14ac:dyDescent="0.35">
      <c r="I134"/>
      <c r="J134"/>
      <c r="K134"/>
      <c r="L134"/>
      <c r="M134"/>
    </row>
    <row r="135" spans="2:14" s="3" customFormat="1" ht="15.75" customHeight="1" x14ac:dyDescent="0.35">
      <c r="I135"/>
      <c r="J135"/>
      <c r="K135"/>
      <c r="L135"/>
      <c r="M135"/>
    </row>
    <row r="136" spans="2:14" s="3" customFormat="1" ht="15.75" customHeight="1" x14ac:dyDescent="0.35">
      <c r="I136"/>
      <c r="J136"/>
      <c r="K136"/>
      <c r="L136"/>
      <c r="M136"/>
    </row>
    <row r="137" spans="2:14" s="3" customFormat="1" ht="15.75" customHeight="1" x14ac:dyDescent="0.35">
      <c r="I137"/>
      <c r="J137"/>
      <c r="K137"/>
      <c r="L137"/>
      <c r="M137"/>
    </row>
    <row r="138" spans="2:14" s="3" customFormat="1" ht="15.75" customHeight="1" x14ac:dyDescent="0.35">
      <c r="I138"/>
      <c r="J138"/>
      <c r="K138"/>
      <c r="L138"/>
      <c r="M138"/>
    </row>
    <row r="139" spans="2:14" s="3" customFormat="1" ht="15.75" customHeight="1" x14ac:dyDescent="0.35">
      <c r="I139"/>
      <c r="J139"/>
      <c r="K139"/>
      <c r="L139"/>
      <c r="M139"/>
      <c r="N139"/>
    </row>
    <row r="140" spans="2:14" ht="15.75" customHeight="1" x14ac:dyDescent="0.35">
      <c r="B140" s="3"/>
      <c r="C140" s="3"/>
      <c r="D140" s="3"/>
      <c r="E140" s="3"/>
      <c r="F140" s="3"/>
      <c r="G140" s="3"/>
    </row>
    <row r="141" spans="2:14" ht="15.75" customHeight="1" x14ac:dyDescent="0.35">
      <c r="B141" s="3"/>
      <c r="C141" s="3"/>
      <c r="D141" s="3"/>
      <c r="E141" s="3"/>
      <c r="F141" s="3"/>
      <c r="G141" s="3"/>
    </row>
    <row r="142" spans="2:14" ht="15.75" customHeight="1" x14ac:dyDescent="0.35">
      <c r="B142" s="3"/>
      <c r="C142" s="3"/>
      <c r="D142" s="3"/>
      <c r="E142" s="3"/>
      <c r="F142" s="3"/>
      <c r="G142" s="3"/>
    </row>
    <row r="143" spans="2:14" ht="15.75" customHeight="1" x14ac:dyDescent="0.35">
      <c r="B143" s="3"/>
      <c r="C143" s="3"/>
      <c r="D143" s="3"/>
      <c r="E143" s="3"/>
      <c r="F143" s="3"/>
      <c r="G143" s="3"/>
    </row>
    <row r="144" spans="2:14" ht="15.75" customHeight="1" x14ac:dyDescent="0.35">
      <c r="B144" s="3"/>
      <c r="C144" s="3"/>
      <c r="D144" s="3"/>
      <c r="E144" s="3"/>
      <c r="F144" s="3"/>
      <c r="G144" s="3"/>
    </row>
    <row r="145" spans="2:7" ht="15.75" customHeight="1" x14ac:dyDescent="0.35">
      <c r="B145" s="3"/>
      <c r="C145" s="3"/>
      <c r="D145" s="3"/>
      <c r="E145" s="3"/>
      <c r="F145" s="3"/>
      <c r="G145" s="3"/>
    </row>
    <row r="146" spans="2:7" ht="15.75" customHeight="1" x14ac:dyDescent="0.35">
      <c r="B146" s="3"/>
      <c r="C146" s="3"/>
      <c r="D146" s="3"/>
      <c r="E146" s="3"/>
      <c r="F146" s="3"/>
      <c r="G146" s="3"/>
    </row>
    <row r="147" spans="2:7" ht="15.75" customHeight="1" x14ac:dyDescent="0.35">
      <c r="B147" s="3"/>
      <c r="C147" s="3"/>
      <c r="D147" s="3"/>
      <c r="E147" s="3"/>
      <c r="F147" s="3"/>
      <c r="G147" s="3"/>
    </row>
    <row r="148" spans="2:7" ht="15.75" customHeight="1" x14ac:dyDescent="0.35">
      <c r="B148" s="3"/>
      <c r="C148" s="3"/>
      <c r="D148" s="3"/>
      <c r="E148" s="3"/>
      <c r="F148" s="3"/>
      <c r="G148" s="3"/>
    </row>
    <row r="149" spans="2:7" ht="15.75" customHeight="1" x14ac:dyDescent="0.35">
      <c r="B149" s="3"/>
      <c r="C149" s="3"/>
      <c r="D149" s="3"/>
      <c r="E149" s="3"/>
      <c r="F149" s="3"/>
      <c r="G149" s="3"/>
    </row>
    <row r="150" spans="2:7" ht="15.75" customHeight="1" x14ac:dyDescent="0.35">
      <c r="B150" s="3"/>
      <c r="C150" s="3"/>
      <c r="D150" s="3"/>
      <c r="E150" s="3"/>
      <c r="F150" s="3"/>
      <c r="G150" s="3"/>
    </row>
    <row r="151" spans="2:7" ht="15.75" customHeight="1" x14ac:dyDescent="0.35">
      <c r="B151" s="3"/>
      <c r="C151" s="3"/>
      <c r="D151" s="3"/>
      <c r="E151" s="3"/>
      <c r="F151" s="3"/>
      <c r="G151" s="3"/>
    </row>
    <row r="152" spans="2:7" ht="15.75" customHeight="1" x14ac:dyDescent="0.35">
      <c r="B152" s="3"/>
      <c r="C152" s="3"/>
      <c r="D152" s="3"/>
      <c r="E152" s="3"/>
      <c r="F152" s="3"/>
      <c r="G152" s="3"/>
    </row>
    <row r="153" spans="2:7" ht="15.75" customHeight="1" x14ac:dyDescent="0.35">
      <c r="B153" s="3"/>
      <c r="C153" s="3"/>
      <c r="D153" s="3"/>
      <c r="E153" s="3"/>
      <c r="F153" s="3"/>
      <c r="G153" s="3"/>
    </row>
    <row r="154" spans="2:7" ht="15.75" customHeight="1" x14ac:dyDescent="0.35">
      <c r="B154" s="3"/>
      <c r="C154" s="3"/>
      <c r="D154" s="3"/>
      <c r="E154" s="3"/>
      <c r="F154" s="3"/>
      <c r="G154" s="3"/>
    </row>
    <row r="155" spans="2:7" ht="15.75" customHeight="1" x14ac:dyDescent="0.35">
      <c r="B155" s="3"/>
      <c r="C155" s="3"/>
      <c r="D155" s="3"/>
      <c r="E155" s="3"/>
      <c r="F155" s="3"/>
      <c r="G155" s="3"/>
    </row>
    <row r="156" spans="2:7" ht="15.75" customHeight="1" x14ac:dyDescent="0.35">
      <c r="B156" s="3"/>
      <c r="C156" s="3"/>
      <c r="D156" s="3"/>
      <c r="E156" s="3"/>
      <c r="F156" s="3"/>
      <c r="G156" s="3"/>
    </row>
    <row r="157" spans="2:7" ht="15.75" customHeight="1" x14ac:dyDescent="0.35">
      <c r="B157" s="3"/>
      <c r="C157" s="3"/>
      <c r="D157" s="3"/>
      <c r="E157" s="3"/>
      <c r="F157" s="3"/>
      <c r="G157" s="3"/>
    </row>
    <row r="158" spans="2:7" ht="15.75" customHeight="1" x14ac:dyDescent="0.35">
      <c r="B158" s="3"/>
      <c r="C158" s="3"/>
      <c r="D158" s="3"/>
      <c r="E158" s="3"/>
      <c r="F158" s="3"/>
      <c r="G158" s="3"/>
    </row>
    <row r="159" spans="2:7" ht="15.75" customHeight="1" x14ac:dyDescent="0.35">
      <c r="B159" s="3"/>
      <c r="C159" s="3"/>
      <c r="D159" s="3"/>
      <c r="E159" s="3"/>
      <c r="F159" s="3"/>
      <c r="G159" s="3"/>
    </row>
    <row r="160" spans="2:7" ht="15.75" customHeight="1" x14ac:dyDescent="0.35">
      <c r="B160" s="3"/>
      <c r="C160" s="3"/>
      <c r="D160" s="3"/>
      <c r="E160" s="3"/>
      <c r="F160" s="3"/>
      <c r="G160" s="3"/>
    </row>
    <row r="161" spans="2:7" ht="15.75" customHeight="1" x14ac:dyDescent="0.35">
      <c r="B161" s="3"/>
      <c r="C161" s="3"/>
      <c r="D161" s="3"/>
      <c r="E161" s="3"/>
      <c r="F161" s="3"/>
      <c r="G161" s="3"/>
    </row>
    <row r="162" spans="2:7" ht="15.75" customHeight="1" x14ac:dyDescent="0.35">
      <c r="B162" s="3"/>
      <c r="C162" s="3"/>
      <c r="D162" s="3"/>
      <c r="E162" s="3"/>
      <c r="F162" s="3"/>
      <c r="G162" s="3"/>
    </row>
    <row r="163" spans="2:7" ht="15.75" customHeight="1" x14ac:dyDescent="0.35">
      <c r="B163" s="3"/>
      <c r="C163" s="3"/>
      <c r="D163" s="3"/>
      <c r="E163" s="3"/>
      <c r="F163" s="3"/>
      <c r="G163" s="3"/>
    </row>
    <row r="164" spans="2:7" ht="15.75" customHeight="1" x14ac:dyDescent="0.35">
      <c r="B164" s="3"/>
      <c r="C164" s="3"/>
      <c r="D164" s="3"/>
      <c r="E164" s="3"/>
      <c r="F164" s="3"/>
      <c r="G164" s="3"/>
    </row>
    <row r="165" spans="2:7" ht="15.75" customHeight="1" x14ac:dyDescent="0.35">
      <c r="B165" s="3"/>
      <c r="C165" s="3"/>
      <c r="D165" s="3"/>
      <c r="E165" s="3"/>
      <c r="F165" s="3"/>
      <c r="G165" s="3"/>
    </row>
    <row r="166" spans="2:7" ht="15.75" customHeight="1" x14ac:dyDescent="0.35">
      <c r="B166" s="3"/>
      <c r="C166" s="3"/>
      <c r="D166" s="3"/>
      <c r="E166" s="3"/>
      <c r="F166" s="3"/>
      <c r="G166" s="3"/>
    </row>
    <row r="167" spans="2:7" ht="15.75" customHeight="1" x14ac:dyDescent="0.35">
      <c r="B167" s="3"/>
      <c r="C167" s="3"/>
      <c r="D167" s="3"/>
      <c r="E167" s="3"/>
      <c r="F167" s="3"/>
      <c r="G167" s="3"/>
    </row>
    <row r="168" spans="2:7" ht="15.75" customHeight="1" x14ac:dyDescent="0.35">
      <c r="B168" s="3"/>
      <c r="C168" s="3"/>
      <c r="D168" s="3"/>
      <c r="E168" s="3"/>
      <c r="F168" s="3"/>
      <c r="G168" s="3"/>
    </row>
    <row r="169" spans="2:7" ht="15.75" customHeight="1" x14ac:dyDescent="0.35">
      <c r="B169" s="3"/>
      <c r="C169" s="3"/>
      <c r="D169" s="3"/>
      <c r="E169" s="3"/>
      <c r="F169" s="3"/>
      <c r="G169" s="3"/>
    </row>
    <row r="170" spans="2:7" ht="15.75" customHeight="1" x14ac:dyDescent="0.35">
      <c r="B170" s="3"/>
      <c r="C170" s="3"/>
      <c r="D170" s="3"/>
      <c r="E170" s="3"/>
      <c r="F170" s="3"/>
      <c r="G170" s="3"/>
    </row>
    <row r="171" spans="2:7" ht="15.75" customHeight="1" x14ac:dyDescent="0.35">
      <c r="B171" s="3"/>
      <c r="C171" s="3"/>
      <c r="D171" s="3"/>
      <c r="E171" s="3"/>
      <c r="F171" s="3"/>
      <c r="G171" s="3"/>
    </row>
    <row r="172" spans="2:7" ht="15.75" customHeight="1" x14ac:dyDescent="0.35">
      <c r="B172" s="3"/>
      <c r="C172" s="3"/>
      <c r="D172" s="3"/>
      <c r="E172" s="3"/>
      <c r="F172" s="3"/>
      <c r="G172" s="3"/>
    </row>
    <row r="173" spans="2:7" ht="15.75" customHeight="1" x14ac:dyDescent="0.35">
      <c r="B173" s="3"/>
      <c r="C173" s="3"/>
      <c r="D173" s="3"/>
      <c r="E173" s="3"/>
      <c r="F173" s="3"/>
      <c r="G173" s="3"/>
    </row>
    <row r="174" spans="2:7" ht="15.75" customHeight="1" x14ac:dyDescent="0.35">
      <c r="B174" s="3"/>
      <c r="C174" s="3"/>
      <c r="D174" s="3"/>
      <c r="E174" s="3"/>
      <c r="F174" s="3"/>
      <c r="G174" s="3"/>
    </row>
    <row r="175" spans="2:7" ht="15.75" customHeight="1" x14ac:dyDescent="0.35">
      <c r="B175" s="3"/>
      <c r="C175" s="3"/>
      <c r="D175" s="3"/>
      <c r="E175" s="3"/>
      <c r="F175" s="3"/>
      <c r="G175" s="3"/>
    </row>
    <row r="176" spans="2:7" ht="15.75" customHeight="1" x14ac:dyDescent="0.35">
      <c r="B176" s="3"/>
      <c r="C176" s="3"/>
      <c r="D176" s="3"/>
      <c r="E176" s="3"/>
      <c r="F176" s="3"/>
      <c r="G176" s="3"/>
    </row>
    <row r="177" spans="2:7" ht="15.75" customHeight="1" x14ac:dyDescent="0.35">
      <c r="B177" s="3"/>
      <c r="C177" s="3"/>
      <c r="D177" s="3"/>
      <c r="E177" s="3"/>
      <c r="F177" s="3"/>
      <c r="G177" s="3"/>
    </row>
    <row r="178" spans="2:7" ht="15.75" customHeight="1" x14ac:dyDescent="0.35">
      <c r="B178" s="3"/>
      <c r="C178" s="3"/>
      <c r="D178" s="3"/>
      <c r="E178" s="3"/>
      <c r="F178" s="3"/>
      <c r="G178" s="3"/>
    </row>
    <row r="179" spans="2:7" ht="15.75" customHeight="1" x14ac:dyDescent="0.35">
      <c r="B179" s="3"/>
      <c r="C179" s="3"/>
      <c r="D179" s="3"/>
      <c r="E179" s="3"/>
      <c r="F179" s="3"/>
      <c r="G179" s="3"/>
    </row>
    <row r="180" spans="2:7" ht="15.75" customHeight="1" x14ac:dyDescent="0.35">
      <c r="B180" s="3"/>
      <c r="C180" s="3"/>
      <c r="D180" s="3"/>
      <c r="E180" s="3"/>
      <c r="F180" s="3"/>
      <c r="G180" s="3"/>
    </row>
    <row r="181" spans="2:7" ht="15.75" customHeight="1" x14ac:dyDescent="0.35">
      <c r="B181" s="3"/>
      <c r="C181" s="3"/>
      <c r="D181" s="3"/>
      <c r="E181" s="3"/>
      <c r="F181" s="3"/>
      <c r="G181" s="3"/>
    </row>
    <row r="182" spans="2:7" ht="15.75" customHeight="1" x14ac:dyDescent="0.35">
      <c r="B182" s="3"/>
      <c r="C182" s="3"/>
      <c r="D182" s="3"/>
      <c r="E182" s="3"/>
      <c r="F182" s="3"/>
      <c r="G182" s="3"/>
    </row>
    <row r="183" spans="2:7" ht="15.75" customHeight="1" x14ac:dyDescent="0.35">
      <c r="B183" s="3"/>
      <c r="C183" s="3"/>
      <c r="D183" s="3"/>
      <c r="E183" s="3"/>
      <c r="F183" s="3"/>
      <c r="G183" s="3"/>
    </row>
    <row r="184" spans="2:7" ht="15.75" customHeight="1" x14ac:dyDescent="0.35">
      <c r="B184" s="3"/>
      <c r="C184" s="3"/>
      <c r="D184" s="3"/>
      <c r="E184" s="3"/>
      <c r="F184" s="3"/>
      <c r="G184" s="3"/>
    </row>
    <row r="185" spans="2:7" ht="15.75" customHeight="1" x14ac:dyDescent="0.35">
      <c r="B185" s="3"/>
      <c r="C185" s="3"/>
      <c r="D185" s="3"/>
      <c r="E185" s="3"/>
      <c r="F185" s="3"/>
      <c r="G185" s="3"/>
    </row>
    <row r="186" spans="2:7" ht="15.75" customHeight="1" x14ac:dyDescent="0.35">
      <c r="B186" s="3"/>
      <c r="C186" s="3"/>
      <c r="D186" s="3"/>
      <c r="E186" s="3"/>
      <c r="F186" s="3"/>
      <c r="G186" s="3"/>
    </row>
    <row r="187" spans="2:7" ht="15.75" customHeight="1" x14ac:dyDescent="0.35">
      <c r="B187" s="3"/>
      <c r="C187" s="3"/>
      <c r="D187" s="3"/>
      <c r="E187" s="3"/>
      <c r="F187" s="3"/>
      <c r="G187" s="3"/>
    </row>
    <row r="188" spans="2:7" ht="15.75" customHeight="1" x14ac:dyDescent="0.35">
      <c r="B188" s="3"/>
      <c r="C188" s="3"/>
      <c r="D188" s="3"/>
      <c r="E188" s="3"/>
      <c r="F188" s="3"/>
      <c r="G188" s="3"/>
    </row>
    <row r="189" spans="2:7" ht="15.75" customHeight="1" x14ac:dyDescent="0.35">
      <c r="B189" s="3"/>
      <c r="C189" s="3"/>
      <c r="D189" s="3"/>
      <c r="E189" s="3"/>
      <c r="F189" s="3"/>
      <c r="G189" s="3"/>
    </row>
    <row r="190" spans="2:7" ht="15.75" customHeight="1" x14ac:dyDescent="0.35">
      <c r="B190" s="3"/>
      <c r="C190" s="3"/>
      <c r="D190" s="3"/>
      <c r="E190" s="3"/>
      <c r="F190" s="3"/>
      <c r="G190" s="3"/>
    </row>
    <row r="191" spans="2:7" ht="15.75" customHeight="1" x14ac:dyDescent="0.35">
      <c r="B191" s="3"/>
      <c r="C191" s="3"/>
      <c r="D191" s="3"/>
      <c r="E191" s="3"/>
      <c r="F191" s="3"/>
      <c r="G191" s="3"/>
    </row>
    <row r="192" spans="2:7" ht="15.75" customHeight="1" x14ac:dyDescent="0.35">
      <c r="B192" s="3"/>
      <c r="C192" s="3"/>
      <c r="D192" s="3"/>
      <c r="E192" s="3"/>
      <c r="F192" s="3"/>
      <c r="G192" s="3"/>
    </row>
    <row r="193" spans="2:7" ht="15.75" customHeight="1" x14ac:dyDescent="0.35">
      <c r="B193" s="3"/>
      <c r="C193" s="3"/>
      <c r="D193" s="3"/>
      <c r="E193" s="3"/>
      <c r="F193" s="3"/>
      <c r="G193" s="3"/>
    </row>
    <row r="194" spans="2:7" ht="15.75" customHeight="1" x14ac:dyDescent="0.35">
      <c r="B194" s="3"/>
      <c r="C194" s="3"/>
      <c r="D194" s="3"/>
      <c r="E194" s="3"/>
      <c r="F194" s="3"/>
      <c r="G194" s="3"/>
    </row>
    <row r="195" spans="2:7" ht="15.75" customHeight="1" x14ac:dyDescent="0.35">
      <c r="B195" s="3"/>
      <c r="C195" s="3"/>
      <c r="D195" s="3"/>
      <c r="E195" s="3"/>
      <c r="F195" s="3"/>
      <c r="G195" s="3"/>
    </row>
    <row r="196" spans="2:7" ht="15.75" customHeight="1" x14ac:dyDescent="0.35">
      <c r="B196" s="3"/>
      <c r="C196" s="3"/>
      <c r="D196" s="3"/>
      <c r="E196" s="3"/>
      <c r="F196" s="3"/>
      <c r="G196" s="3"/>
    </row>
    <row r="197" spans="2:7" ht="15.75" customHeight="1" x14ac:dyDescent="0.35">
      <c r="B197" s="3"/>
      <c r="C197" s="3"/>
      <c r="D197" s="3"/>
      <c r="E197" s="3"/>
      <c r="F197" s="3"/>
      <c r="G197" s="3"/>
    </row>
    <row r="198" spans="2:7" ht="15.75" customHeight="1" x14ac:dyDescent="0.35">
      <c r="B198" s="3"/>
      <c r="C198" s="3"/>
      <c r="D198" s="3"/>
      <c r="E198" s="3"/>
      <c r="F198" s="3"/>
      <c r="G198" s="3"/>
    </row>
    <row r="199" spans="2:7" ht="15.75" customHeight="1" x14ac:dyDescent="0.35">
      <c r="B199" s="3"/>
      <c r="C199" s="3"/>
      <c r="D199" s="3"/>
      <c r="E199" s="3"/>
      <c r="F199" s="3"/>
      <c r="G199" s="3"/>
    </row>
    <row r="200" spans="2:7" ht="15.75" customHeight="1" x14ac:dyDescent="0.35">
      <c r="B200" s="3"/>
      <c r="C200" s="3"/>
      <c r="D200" s="3"/>
      <c r="E200" s="3"/>
      <c r="F200" s="3"/>
      <c r="G200" s="3"/>
    </row>
    <row r="201" spans="2:7" ht="15.75" customHeight="1" x14ac:dyDescent="0.35">
      <c r="B201" s="3"/>
      <c r="C201" s="3"/>
      <c r="D201" s="3"/>
      <c r="E201" s="3"/>
      <c r="F201" s="3"/>
      <c r="G201" s="3"/>
    </row>
    <row r="202" spans="2:7" ht="15.75" customHeight="1" x14ac:dyDescent="0.35">
      <c r="B202" s="3"/>
      <c r="C202" s="3"/>
      <c r="D202" s="3"/>
      <c r="E202" s="3"/>
      <c r="F202" s="3"/>
      <c r="G202" s="3"/>
    </row>
    <row r="203" spans="2:7" ht="15.75" customHeight="1" x14ac:dyDescent="0.35"/>
    <row r="204" spans="2:7" ht="15.75" customHeight="1" x14ac:dyDescent="0.35"/>
    <row r="205" spans="2:7" ht="15.75" customHeight="1" x14ac:dyDescent="0.35"/>
    <row r="206" spans="2:7" ht="15.75" customHeight="1" x14ac:dyDescent="0.35"/>
    <row r="207" spans="2:7" ht="15.75" customHeight="1" x14ac:dyDescent="0.35"/>
    <row r="208" spans="2:7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  <row r="1001" ht="15.75" customHeight="1" x14ac:dyDescent="0.35"/>
    <row r="1002" ht="15.75" customHeight="1" x14ac:dyDescent="0.35"/>
    <row r="1003" ht="15.75" customHeight="1" x14ac:dyDescent="0.35"/>
  </sheetData>
  <mergeCells count="11">
    <mergeCell ref="A1:N1"/>
    <mergeCell ref="J12:K12"/>
    <mergeCell ref="H70:H76"/>
    <mergeCell ref="H78:H84"/>
    <mergeCell ref="H34:H47"/>
    <mergeCell ref="H22:H30"/>
    <mergeCell ref="H49:H52"/>
    <mergeCell ref="H54:H61"/>
    <mergeCell ref="H63:H67"/>
    <mergeCell ref="D18:F18"/>
    <mergeCell ref="I15:M15"/>
  </mergeCells>
  <phoneticPr fontId="8" type="noConversion"/>
  <conditionalFormatting sqref="F96:G96 F20:F24">
    <cfRule type="cellIs" dxfId="60" priority="75" operator="greaterThan">
      <formula>0</formula>
    </cfRule>
    <cfRule type="cellIs" dxfId="59" priority="76" operator="lessThan">
      <formula>0</formula>
    </cfRule>
  </conditionalFormatting>
  <conditionalFormatting sqref="F26:F30">
    <cfRule type="cellIs" dxfId="58" priority="63" operator="greaterThan">
      <formula>0</formula>
    </cfRule>
    <cfRule type="cellIs" dxfId="57" priority="64" operator="lessThan">
      <formula>0</formula>
    </cfRule>
  </conditionalFormatting>
  <conditionalFormatting sqref="F32:F35">
    <cfRule type="cellIs" dxfId="56" priority="61" operator="greaterThan">
      <formula>0</formula>
    </cfRule>
    <cfRule type="cellIs" dxfId="55" priority="62" operator="lessThan">
      <formula>0</formula>
    </cfRule>
  </conditionalFormatting>
  <conditionalFormatting sqref="F97:G97">
    <cfRule type="cellIs" dxfId="54" priority="59" operator="greaterThan">
      <formula>0</formula>
    </cfRule>
    <cfRule type="cellIs" dxfId="53" priority="60" operator="lessThan">
      <formula>0</formula>
    </cfRule>
  </conditionalFormatting>
  <conditionalFormatting sqref="F38:F41">
    <cfRule type="cellIs" dxfId="52" priority="55" operator="greaterThan">
      <formula>0</formula>
    </cfRule>
    <cfRule type="cellIs" dxfId="51" priority="56" operator="lessThan">
      <formula>0</formula>
    </cfRule>
  </conditionalFormatting>
  <conditionalFormatting sqref="F44:F47">
    <cfRule type="cellIs" dxfId="50" priority="51" operator="greaterThan">
      <formula>0</formula>
    </cfRule>
    <cfRule type="cellIs" dxfId="49" priority="52" operator="lessThan">
      <formula>0</formula>
    </cfRule>
  </conditionalFormatting>
  <conditionalFormatting sqref="F48:F51">
    <cfRule type="cellIs" dxfId="48" priority="49" operator="greaterThan">
      <formula>0</formula>
    </cfRule>
    <cfRule type="cellIs" dxfId="47" priority="50" operator="lessThan">
      <formula>0</formula>
    </cfRule>
  </conditionalFormatting>
  <conditionalFormatting sqref="F52:F55">
    <cfRule type="cellIs" dxfId="46" priority="47" operator="greaterThan">
      <formula>0</formula>
    </cfRule>
    <cfRule type="cellIs" dxfId="45" priority="48" operator="lessThan">
      <formula>0</formula>
    </cfRule>
  </conditionalFormatting>
  <conditionalFormatting sqref="F56:F59">
    <cfRule type="cellIs" dxfId="44" priority="45" operator="greaterThan">
      <formula>0</formula>
    </cfRule>
    <cfRule type="cellIs" dxfId="43" priority="46" operator="lessThan">
      <formula>0</formula>
    </cfRule>
  </conditionalFormatting>
  <conditionalFormatting sqref="F60:F62">
    <cfRule type="cellIs" dxfId="42" priority="43" operator="greaterThan">
      <formula>0</formula>
    </cfRule>
    <cfRule type="cellIs" dxfId="41" priority="44" operator="lessThan">
      <formula>0</formula>
    </cfRule>
  </conditionalFormatting>
  <conditionalFormatting sqref="F36">
    <cfRule type="cellIs" dxfId="40" priority="39" operator="greaterThan">
      <formula>0</formula>
    </cfRule>
    <cfRule type="cellIs" dxfId="39" priority="40" operator="lessThan">
      <formula>0</formula>
    </cfRule>
  </conditionalFormatting>
  <conditionalFormatting sqref="F42">
    <cfRule type="cellIs" dxfId="38" priority="37" operator="greaterThan">
      <formula>0</formula>
    </cfRule>
    <cfRule type="cellIs" dxfId="37" priority="38" operator="lessThan">
      <formula>0</formula>
    </cfRule>
  </conditionalFormatting>
  <conditionalFormatting sqref="F63">
    <cfRule type="cellIs" dxfId="36" priority="35" operator="greaterThan">
      <formula>0</formula>
    </cfRule>
    <cfRule type="cellIs" dxfId="35" priority="36" operator="lessThan">
      <formula>0</formula>
    </cfRule>
  </conditionalFormatting>
  <conditionalFormatting sqref="F65:F68">
    <cfRule type="cellIs" dxfId="34" priority="33" operator="greaterThan">
      <formula>0</formula>
    </cfRule>
    <cfRule type="cellIs" dxfId="33" priority="34" operator="lessThan">
      <formula>0</formula>
    </cfRule>
  </conditionalFormatting>
  <conditionalFormatting sqref="F69:F72">
    <cfRule type="cellIs" dxfId="32" priority="31" operator="greaterThan">
      <formula>0</formula>
    </cfRule>
    <cfRule type="cellIs" dxfId="31" priority="32" operator="lessThan">
      <formula>0</formula>
    </cfRule>
  </conditionalFormatting>
  <conditionalFormatting sqref="F73">
    <cfRule type="cellIs" dxfId="30" priority="29" operator="greaterThan">
      <formula>0</formula>
    </cfRule>
    <cfRule type="cellIs" dxfId="29" priority="30" operator="lessThan">
      <formula>0</formula>
    </cfRule>
  </conditionalFormatting>
  <conditionalFormatting sqref="F74">
    <cfRule type="cellIs" dxfId="28" priority="25" operator="greaterThan">
      <formula>0</formula>
    </cfRule>
    <cfRule type="cellIs" dxfId="27" priority="26" operator="lessThan">
      <formula>0</formula>
    </cfRule>
  </conditionalFormatting>
  <conditionalFormatting sqref="F76:F79">
    <cfRule type="cellIs" dxfId="26" priority="23" operator="greaterThan">
      <formula>0</formula>
    </cfRule>
    <cfRule type="cellIs" dxfId="25" priority="24" operator="lessThan">
      <formula>0</formula>
    </cfRule>
  </conditionalFormatting>
  <conditionalFormatting sqref="F80:F85">
    <cfRule type="cellIs" dxfId="24" priority="21" operator="greaterThan">
      <formula>0</formula>
    </cfRule>
    <cfRule type="cellIs" dxfId="23" priority="22" operator="lessThan">
      <formula>0</formula>
    </cfRule>
  </conditionalFormatting>
  <conditionalFormatting sqref="F86:F89">
    <cfRule type="cellIs" dxfId="22" priority="15" operator="greaterThan">
      <formula>0</formula>
    </cfRule>
    <cfRule type="cellIs" dxfId="21" priority="16" operator="lessThan">
      <formula>0</formula>
    </cfRule>
  </conditionalFormatting>
  <conditionalFormatting sqref="F91:F94">
    <cfRule type="cellIs" dxfId="20" priority="13" operator="greaterThan">
      <formula>0</formula>
    </cfRule>
    <cfRule type="cellIs" dxfId="19" priority="14" operator="lessThan">
      <formula>0</formula>
    </cfRule>
  </conditionalFormatting>
  <conditionalFormatting sqref="F95">
    <cfRule type="cellIs" dxfId="18" priority="11" operator="greaterThan">
      <formula>0</formula>
    </cfRule>
    <cfRule type="cellIs" dxfId="17" priority="12" operator="lessThan">
      <formula>0</formula>
    </cfRule>
  </conditionalFormatting>
  <conditionalFormatting sqref="M18:M48">
    <cfRule type="cellIs" dxfId="16" priority="1" operator="greaterThan">
      <formula>0</formula>
    </cfRule>
  </conditionalFormatting>
  <conditionalFormatting sqref="M18:M48">
    <cfRule type="cellIs" dxfId="15" priority="2" operator="lessThan">
      <formula>0</formula>
    </cfRule>
  </conditionalFormatting>
  <hyperlinks>
    <hyperlink ref="D18:F18" location="Receitas!A1" display="Ver lançamentos" xr:uid="{7613E0DB-03DB-4074-90BD-16DEA12C25D8}"/>
  </hyperlinks>
  <pageMargins left="0.511811024" right="0.511811024" top="0.78740157499999996" bottom="0.78740157499999996" header="0.31496062000000002" footer="0.31496062000000002"/>
  <pageSetup paperSize="9" orientation="portrait" r:id="rId1"/>
  <ignoredErrors>
    <ignoredError sqref="L10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08951-AFF6-4ADD-9253-F0D04E448B53}">
  <sheetPr>
    <tabColor theme="4" tint="0.59999389629810485"/>
  </sheetPr>
  <dimension ref="B1:N48"/>
  <sheetViews>
    <sheetView showGridLines="0" tabSelected="1" zoomScale="85" zoomScaleNormal="85" workbookViewId="0">
      <selection activeCell="R17" sqref="R17"/>
    </sheetView>
  </sheetViews>
  <sheetFormatPr defaultRowHeight="15.5" x14ac:dyDescent="0.3"/>
  <cols>
    <col min="1" max="1" width="3.5" style="263" customWidth="1"/>
    <col min="2" max="2" width="18.58203125" style="263" bestFit="1" customWidth="1"/>
    <col min="3" max="3" width="13.25" style="263" bestFit="1" customWidth="1"/>
    <col min="4" max="4" width="3.75" style="263" customWidth="1"/>
    <col min="5" max="5" width="58" style="263" bestFit="1" customWidth="1"/>
    <col min="6" max="6" width="21.33203125" style="263" bestFit="1" customWidth="1"/>
    <col min="7" max="7" width="0.9140625" style="263" customWidth="1"/>
    <col min="8" max="8" width="12.33203125" style="263" bestFit="1" customWidth="1"/>
    <col min="9" max="9" width="0.9140625" style="263" customWidth="1"/>
    <col min="10" max="10" width="12.5" style="126" bestFit="1" customWidth="1"/>
    <col min="11" max="11" width="0.9140625" style="263" customWidth="1"/>
    <col min="12" max="12" width="13.5" style="263" bestFit="1" customWidth="1"/>
    <col min="13" max="13" width="0.9140625" style="263" customWidth="1"/>
    <col min="14" max="14" width="4.58203125" style="360" customWidth="1"/>
    <col min="15" max="16384" width="8.6640625" style="263"/>
  </cols>
  <sheetData>
    <row r="1" spans="2:14" ht="16" thickBot="1" x14ac:dyDescent="0.35"/>
    <row r="2" spans="2:14" x14ac:dyDescent="0.35">
      <c r="B2" s="355" t="s">
        <v>710</v>
      </c>
      <c r="C2" s="356">
        <v>198851.85</v>
      </c>
      <c r="E2" s="268" t="s">
        <v>448</v>
      </c>
      <c r="F2" s="270" t="s">
        <v>451</v>
      </c>
      <c r="H2" s="362" t="s">
        <v>609</v>
      </c>
      <c r="J2" s="362" t="s">
        <v>681</v>
      </c>
      <c r="L2" s="362" t="s">
        <v>618</v>
      </c>
    </row>
    <row r="3" spans="2:14" x14ac:dyDescent="0.35">
      <c r="B3" s="273"/>
      <c r="C3" s="274"/>
      <c r="E3" s="275" t="s">
        <v>447</v>
      </c>
      <c r="F3" s="278">
        <v>182019.02999999997</v>
      </c>
      <c r="H3" s="363">
        <v>30674</v>
      </c>
      <c r="J3" s="363">
        <v>30273</v>
      </c>
      <c r="L3" s="363">
        <f>+F3-H3-J3</f>
        <v>121072.02999999997</v>
      </c>
      <c r="N3" s="361">
        <f>+(H3+J3)/F3</f>
        <v>0.33483861550080785</v>
      </c>
    </row>
    <row r="4" spans="2:14" x14ac:dyDescent="0.35">
      <c r="B4" s="273"/>
      <c r="C4" s="274"/>
      <c r="E4" s="275" t="s">
        <v>456</v>
      </c>
      <c r="F4" s="278">
        <v>1E-4</v>
      </c>
      <c r="H4" s="363">
        <v>2069.9699999999998</v>
      </c>
      <c r="J4" s="363">
        <v>0</v>
      </c>
      <c r="L4" s="498">
        <f>+F4-H4-J4</f>
        <v>-2069.9698999999996</v>
      </c>
      <c r="N4" s="361"/>
    </row>
    <row r="5" spans="2:14" ht="16" thickBot="1" x14ac:dyDescent="0.4">
      <c r="B5" s="273"/>
      <c r="C5" s="274"/>
      <c r="E5" s="280" t="s">
        <v>470</v>
      </c>
      <c r="F5" s="283">
        <v>101085.91</v>
      </c>
      <c r="H5" s="364">
        <v>0</v>
      </c>
      <c r="J5" s="364">
        <v>0</v>
      </c>
      <c r="L5" s="364">
        <v>0</v>
      </c>
      <c r="N5" s="361"/>
    </row>
    <row r="6" spans="2:14" ht="16.5" thickTop="1" thickBot="1" x14ac:dyDescent="0.4">
      <c r="B6" s="273"/>
      <c r="C6" s="274"/>
      <c r="E6" s="284" t="s">
        <v>452</v>
      </c>
      <c r="F6" s="286">
        <v>283104.93999999994</v>
      </c>
      <c r="H6" s="365">
        <f>SUM(H3:H5)</f>
        <v>32743.97</v>
      </c>
      <c r="J6" s="365">
        <f>SUM(J3:J5)</f>
        <v>30273</v>
      </c>
      <c r="L6" s="365">
        <f>SUM(L3:L5)</f>
        <v>119002.06009999997</v>
      </c>
      <c r="N6" s="361"/>
    </row>
    <row r="7" spans="2:14" ht="5.5" customHeight="1" thickBot="1" x14ac:dyDescent="0.4">
      <c r="B7" s="273"/>
      <c r="C7" s="274"/>
      <c r="E7" s="288"/>
      <c r="F7" s="288"/>
      <c r="H7" s="288"/>
      <c r="J7" s="288"/>
      <c r="L7" s="288"/>
    </row>
    <row r="8" spans="2:14" x14ac:dyDescent="0.35">
      <c r="B8" s="273"/>
      <c r="C8" s="274"/>
      <c r="E8" s="289" t="s">
        <v>454</v>
      </c>
      <c r="F8" s="291" t="s">
        <v>451</v>
      </c>
      <c r="H8" s="366" t="s">
        <v>609</v>
      </c>
      <c r="J8" s="366" t="s">
        <v>681</v>
      </c>
      <c r="L8" s="366" t="s">
        <v>619</v>
      </c>
    </row>
    <row r="9" spans="2:14" ht="16" thickBot="1" x14ac:dyDescent="0.4">
      <c r="B9" s="293"/>
      <c r="C9" s="294"/>
      <c r="E9" s="295" t="s">
        <v>27</v>
      </c>
      <c r="F9" s="298">
        <v>1333.2</v>
      </c>
      <c r="H9" s="367">
        <v>0</v>
      </c>
      <c r="J9" s="367">
        <v>0</v>
      </c>
      <c r="L9" s="367">
        <f>+F9-H9-J9</f>
        <v>1333.2</v>
      </c>
      <c r="N9" s="361">
        <f>+(H9+J9)/F9</f>
        <v>0</v>
      </c>
    </row>
    <row r="10" spans="2:14" ht="16" thickBot="1" x14ac:dyDescent="0.4">
      <c r="E10" s="295" t="s">
        <v>28</v>
      </c>
      <c r="F10" s="298">
        <v>12102.244000000001</v>
      </c>
      <c r="H10" s="367">
        <v>0</v>
      </c>
      <c r="J10" s="367">
        <v>0</v>
      </c>
      <c r="L10" s="367">
        <f t="shared" ref="L10:L20" si="0">+F10-H10-J10</f>
        <v>12102.244000000001</v>
      </c>
      <c r="N10" s="361">
        <f t="shared" ref="N10:N21" si="1">+(H10+J10)/F10</f>
        <v>0</v>
      </c>
    </row>
    <row r="11" spans="2:14" x14ac:dyDescent="0.35">
      <c r="B11" s="357" t="s">
        <v>443</v>
      </c>
      <c r="C11" s="358">
        <f>+F5+H24+J24</f>
        <v>125828.20000000001</v>
      </c>
      <c r="E11" s="295" t="s">
        <v>465</v>
      </c>
      <c r="F11" s="298">
        <v>30000</v>
      </c>
      <c r="H11" s="367">
        <v>0</v>
      </c>
      <c r="J11" s="367">
        <v>0</v>
      </c>
      <c r="L11" s="367">
        <f t="shared" si="0"/>
        <v>30000</v>
      </c>
      <c r="N11" s="361">
        <f t="shared" si="1"/>
        <v>0</v>
      </c>
    </row>
    <row r="12" spans="2:14" ht="16" thickBot="1" x14ac:dyDescent="0.4">
      <c r="B12" s="379" t="s">
        <v>610</v>
      </c>
      <c r="C12" s="380">
        <f>+F29+H46+J46</f>
        <v>73023.649999999994</v>
      </c>
      <c r="E12" s="295" t="s">
        <v>439</v>
      </c>
      <c r="F12" s="298">
        <v>5868.66</v>
      </c>
      <c r="H12" s="367">
        <v>0</v>
      </c>
      <c r="J12" s="367">
        <v>1046.95</v>
      </c>
      <c r="L12" s="367">
        <f t="shared" si="0"/>
        <v>4821.71</v>
      </c>
      <c r="N12" s="361">
        <f t="shared" si="1"/>
        <v>0.17839677200587528</v>
      </c>
    </row>
    <row r="13" spans="2:14" x14ac:dyDescent="0.35">
      <c r="E13" s="295" t="s">
        <v>601</v>
      </c>
      <c r="F13" s="298">
        <v>1732.86</v>
      </c>
      <c r="H13" s="367">
        <v>80</v>
      </c>
      <c r="J13" s="367">
        <v>2690</v>
      </c>
      <c r="L13" s="497">
        <f t="shared" si="0"/>
        <v>-1037.1400000000001</v>
      </c>
      <c r="N13" s="361">
        <f t="shared" si="1"/>
        <v>1.5985134402086725</v>
      </c>
    </row>
    <row r="14" spans="2:14" x14ac:dyDescent="0.35">
      <c r="C14" s="359"/>
      <c r="E14" s="295" t="s">
        <v>19</v>
      </c>
      <c r="F14" s="298">
        <v>10800</v>
      </c>
      <c r="H14" s="367">
        <v>1200</v>
      </c>
      <c r="J14" s="367">
        <v>2400</v>
      </c>
      <c r="L14" s="367">
        <f t="shared" si="0"/>
        <v>7200</v>
      </c>
      <c r="N14" s="361">
        <f t="shared" si="1"/>
        <v>0.33333333333333331</v>
      </c>
    </row>
    <row r="15" spans="2:14" x14ac:dyDescent="0.35">
      <c r="C15" s="359"/>
      <c r="E15" s="295" t="s">
        <v>20</v>
      </c>
      <c r="F15" s="298">
        <v>500</v>
      </c>
      <c r="H15" s="367">
        <v>214.6</v>
      </c>
      <c r="J15" s="367">
        <v>0</v>
      </c>
      <c r="L15" s="367">
        <f t="shared" si="0"/>
        <v>285.39999999999998</v>
      </c>
      <c r="N15" s="361">
        <f t="shared" si="1"/>
        <v>0.42919999999999997</v>
      </c>
    </row>
    <row r="16" spans="2:14" x14ac:dyDescent="0.35">
      <c r="E16" s="295" t="s">
        <v>22</v>
      </c>
      <c r="F16" s="298">
        <v>500</v>
      </c>
      <c r="H16" s="367">
        <v>2.54</v>
      </c>
      <c r="J16" s="367">
        <v>65.099999999999994</v>
      </c>
      <c r="L16" s="367">
        <f t="shared" si="0"/>
        <v>432.36</v>
      </c>
      <c r="N16" s="361">
        <f t="shared" si="1"/>
        <v>0.13528000000000001</v>
      </c>
    </row>
    <row r="17" spans="5:14" x14ac:dyDescent="0.35">
      <c r="E17" s="295" t="s">
        <v>32</v>
      </c>
      <c r="F17" s="298">
        <v>11600</v>
      </c>
      <c r="H17" s="367">
        <v>2099.73</v>
      </c>
      <c r="J17" s="367">
        <v>0</v>
      </c>
      <c r="L17" s="367">
        <f t="shared" si="0"/>
        <v>9500.27</v>
      </c>
      <c r="N17" s="361">
        <f t="shared" si="1"/>
        <v>0.18101120689655173</v>
      </c>
    </row>
    <row r="18" spans="5:14" x14ac:dyDescent="0.35">
      <c r="E18" s="295" t="s">
        <v>44</v>
      </c>
      <c r="F18" s="298">
        <v>48508.23</v>
      </c>
      <c r="H18" s="367">
        <v>8355.5</v>
      </c>
      <c r="J18" s="367">
        <v>8145</v>
      </c>
      <c r="L18" s="367">
        <f t="shared" si="0"/>
        <v>32007.730000000003</v>
      </c>
      <c r="N18" s="361">
        <f t="shared" si="1"/>
        <v>0.34015877305768522</v>
      </c>
    </row>
    <row r="19" spans="5:14" x14ac:dyDescent="0.35">
      <c r="E19" s="295" t="s">
        <v>635</v>
      </c>
      <c r="F19" s="298">
        <v>8567.09</v>
      </c>
      <c r="H19" s="367">
        <v>0</v>
      </c>
      <c r="J19" s="367">
        <v>6852.52</v>
      </c>
      <c r="L19" s="367">
        <f t="shared" si="0"/>
        <v>1714.5699999999997</v>
      </c>
      <c r="N19" s="361">
        <f t="shared" si="1"/>
        <v>0.7998655319367487</v>
      </c>
    </row>
    <row r="20" spans="5:14" x14ac:dyDescent="0.35">
      <c r="E20" s="295" t="s">
        <v>24</v>
      </c>
      <c r="F20" s="298">
        <v>15567</v>
      </c>
      <c r="H20" s="367">
        <v>2515.41</v>
      </c>
      <c r="J20" s="367">
        <v>889.88</v>
      </c>
      <c r="L20" s="367">
        <f t="shared" si="0"/>
        <v>12161.710000000001</v>
      </c>
      <c r="N20" s="361">
        <f t="shared" si="1"/>
        <v>0.21875056208646496</v>
      </c>
    </row>
    <row r="21" spans="5:14" ht="16" thickBot="1" x14ac:dyDescent="0.4">
      <c r="E21" s="301" t="s">
        <v>93</v>
      </c>
      <c r="F21" s="303">
        <v>21212.46</v>
      </c>
      <c r="H21" s="368">
        <v>1357.45</v>
      </c>
      <c r="J21" s="368">
        <v>360</v>
      </c>
      <c r="L21" s="368">
        <f>+F21-H21-J21</f>
        <v>19495.009999999998</v>
      </c>
      <c r="N21" s="361">
        <f t="shared" si="1"/>
        <v>8.0964206885952877E-2</v>
      </c>
    </row>
    <row r="22" spans="5:14" ht="16.5" thickTop="1" thickBot="1" x14ac:dyDescent="0.4">
      <c r="E22" s="304" t="s">
        <v>453</v>
      </c>
      <c r="F22" s="306">
        <f>SUM(F9:F21)</f>
        <v>168291.74400000001</v>
      </c>
      <c r="H22" s="369">
        <f>SUM(H9:H21)</f>
        <v>15825.23</v>
      </c>
      <c r="J22" s="369">
        <f>SUM(J9:J21)</f>
        <v>22449.45</v>
      </c>
      <c r="L22" s="369">
        <f>SUM(L9:L21)</f>
        <v>130017.06400000001</v>
      </c>
    </row>
    <row r="23" spans="5:14" ht="5.5" customHeight="1" thickBot="1" x14ac:dyDescent="0.4">
      <c r="J23" s="263"/>
    </row>
    <row r="24" spans="5:14" ht="16" thickBot="1" x14ac:dyDescent="0.4">
      <c r="E24" s="308" t="s">
        <v>471</v>
      </c>
      <c r="F24" s="385">
        <f>+F6-F22</f>
        <v>114813.19599999994</v>
      </c>
      <c r="G24" s="383"/>
      <c r="H24" s="384">
        <f>+H6-H22</f>
        <v>16918.740000000002</v>
      </c>
      <c r="I24" s="383"/>
      <c r="J24" s="384">
        <f>+J6-J22</f>
        <v>7823.5499999999993</v>
      </c>
      <c r="K24" s="383"/>
      <c r="L24" s="495">
        <f>+L6-L22</f>
        <v>-11015.00390000004</v>
      </c>
    </row>
    <row r="25" spans="5:14" ht="16" thickBot="1" x14ac:dyDescent="0.4">
      <c r="J25" s="263"/>
    </row>
    <row r="26" spans="5:14" x14ac:dyDescent="0.35">
      <c r="E26" s="311" t="s">
        <v>455</v>
      </c>
      <c r="F26" s="313" t="s">
        <v>451</v>
      </c>
      <c r="H26" s="370" t="s">
        <v>609</v>
      </c>
      <c r="J26" s="370" t="s">
        <v>681</v>
      </c>
      <c r="L26" s="370" t="s">
        <v>618</v>
      </c>
    </row>
    <row r="27" spans="5:14" x14ac:dyDescent="0.35">
      <c r="E27" s="315" t="s">
        <v>17</v>
      </c>
      <c r="F27" s="317">
        <v>57588</v>
      </c>
      <c r="H27" s="371">
        <v>30211.87</v>
      </c>
      <c r="J27" s="371">
        <v>606</v>
      </c>
      <c r="L27" s="371">
        <f>+F27-H27-J27</f>
        <v>26770.13</v>
      </c>
      <c r="N27" s="361">
        <f t="shared" ref="N27" si="2">+(H27+J27)/F27</f>
        <v>0.53514395360144473</v>
      </c>
    </row>
    <row r="28" spans="5:14" x14ac:dyDescent="0.35">
      <c r="E28" s="315" t="s">
        <v>15</v>
      </c>
      <c r="F28" s="317">
        <v>0</v>
      </c>
      <c r="H28" s="371">
        <v>0</v>
      </c>
      <c r="J28" s="371">
        <v>135</v>
      </c>
      <c r="L28" s="371">
        <f>+F28-H28-J28</f>
        <v>-135</v>
      </c>
      <c r="N28" s="361"/>
    </row>
    <row r="29" spans="5:14" ht="16" thickBot="1" x14ac:dyDescent="0.4">
      <c r="E29" s="319" t="s">
        <v>611</v>
      </c>
      <c r="F29" s="321">
        <f>949.74+'Orçamento Aprovado'!H29</f>
        <v>84076.800000000003</v>
      </c>
      <c r="H29" s="372">
        <v>0</v>
      </c>
      <c r="J29" s="372">
        <v>0</v>
      </c>
      <c r="L29" s="372">
        <v>0</v>
      </c>
      <c r="N29" s="361"/>
    </row>
    <row r="30" spans="5:14" ht="16.5" thickTop="1" thickBot="1" x14ac:dyDescent="0.4">
      <c r="E30" s="322" t="s">
        <v>457</v>
      </c>
      <c r="F30" s="324">
        <f>SUM(F27:F29)</f>
        <v>141664.79999999999</v>
      </c>
      <c r="H30" s="373">
        <f>SUM(H27:H29)</f>
        <v>30211.87</v>
      </c>
      <c r="J30" s="373">
        <f>SUM(J27:J29)</f>
        <v>741</v>
      </c>
      <c r="L30" s="373">
        <f>SUM(L27:L29)</f>
        <v>26635.13</v>
      </c>
    </row>
    <row r="31" spans="5:14" ht="5.5" customHeight="1" thickBot="1" x14ac:dyDescent="0.4">
      <c r="E31" s="288"/>
      <c r="F31" s="288"/>
      <c r="H31" s="288"/>
      <c r="J31" s="288"/>
      <c r="L31" s="288"/>
    </row>
    <row r="32" spans="5:14" x14ac:dyDescent="0.35">
      <c r="E32" s="326" t="s">
        <v>458</v>
      </c>
      <c r="F32" s="328" t="s">
        <v>451</v>
      </c>
      <c r="H32" s="374" t="s">
        <v>609</v>
      </c>
      <c r="J32" s="374" t="s">
        <v>681</v>
      </c>
      <c r="L32" s="374" t="s">
        <v>619</v>
      </c>
    </row>
    <row r="33" spans="5:14" x14ac:dyDescent="0.35">
      <c r="E33" s="330" t="s">
        <v>466</v>
      </c>
      <c r="F33" s="333">
        <v>45000</v>
      </c>
      <c r="H33" s="375">
        <v>0</v>
      </c>
      <c r="J33" s="375">
        <v>0</v>
      </c>
      <c r="L33" s="375">
        <f>+F33-H33-J33</f>
        <v>45000</v>
      </c>
      <c r="N33" s="361">
        <f t="shared" ref="N33:N43" si="3">+(H33+J33)/F33</f>
        <v>0</v>
      </c>
    </row>
    <row r="34" spans="5:14" x14ac:dyDescent="0.35">
      <c r="E34" s="330" t="s">
        <v>460</v>
      </c>
      <c r="F34" s="333">
        <v>30000</v>
      </c>
      <c r="H34" s="375">
        <v>0</v>
      </c>
      <c r="J34" s="375">
        <v>2659.47</v>
      </c>
      <c r="L34" s="375">
        <f t="shared" ref="L34:L36" si="4">+F34-H34-J34</f>
        <v>27340.53</v>
      </c>
      <c r="N34" s="361">
        <f t="shared" si="3"/>
        <v>8.8648999999999992E-2</v>
      </c>
    </row>
    <row r="35" spans="5:14" x14ac:dyDescent="0.35">
      <c r="E35" s="330" t="s">
        <v>459</v>
      </c>
      <c r="F35" s="333">
        <v>6000</v>
      </c>
      <c r="H35" s="375">
        <v>0</v>
      </c>
      <c r="J35" s="375">
        <v>0</v>
      </c>
      <c r="L35" s="375">
        <f t="shared" si="4"/>
        <v>6000</v>
      </c>
      <c r="N35" s="361">
        <f t="shared" si="3"/>
        <v>0</v>
      </c>
    </row>
    <row r="36" spans="5:14" x14ac:dyDescent="0.35">
      <c r="E36" s="330" t="s">
        <v>464</v>
      </c>
      <c r="F36" s="333">
        <v>24000</v>
      </c>
      <c r="H36" s="375">
        <v>-6336.6</v>
      </c>
      <c r="J36" s="375">
        <v>12127.75</v>
      </c>
      <c r="L36" s="375">
        <f t="shared" si="4"/>
        <v>18208.849999999999</v>
      </c>
      <c r="N36" s="361">
        <f t="shared" si="3"/>
        <v>0.24129791666666664</v>
      </c>
    </row>
    <row r="37" spans="5:14" x14ac:dyDescent="0.35">
      <c r="E37" s="335" t="s">
        <v>92</v>
      </c>
      <c r="F37" s="338">
        <v>2700</v>
      </c>
      <c r="H37" s="376">
        <v>0</v>
      </c>
      <c r="J37" s="376">
        <v>0</v>
      </c>
      <c r="L37" s="376">
        <f>+F37-H37-J37</f>
        <v>2700</v>
      </c>
      <c r="N37" s="361">
        <f t="shared" si="3"/>
        <v>0</v>
      </c>
    </row>
    <row r="38" spans="5:14" x14ac:dyDescent="0.35">
      <c r="E38" s="335" t="s">
        <v>467</v>
      </c>
      <c r="F38" s="338">
        <v>16000</v>
      </c>
      <c r="H38" s="376">
        <v>8011</v>
      </c>
      <c r="J38" s="376">
        <v>2498</v>
      </c>
      <c r="L38" s="376">
        <f>+F38-H38-J38</f>
        <v>5491</v>
      </c>
      <c r="N38" s="361">
        <f t="shared" si="3"/>
        <v>0.65681250000000002</v>
      </c>
    </row>
    <row r="39" spans="5:14" x14ac:dyDescent="0.35">
      <c r="E39" s="330" t="s">
        <v>43</v>
      </c>
      <c r="F39" s="333">
        <v>24520</v>
      </c>
      <c r="H39" s="375">
        <v>546.4</v>
      </c>
      <c r="J39" s="375">
        <v>0</v>
      </c>
      <c r="L39" s="375">
        <f>+F39-H39-J39</f>
        <v>23973.599999999999</v>
      </c>
      <c r="N39" s="361">
        <f t="shared" si="3"/>
        <v>2.2283849918433931E-2</v>
      </c>
    </row>
    <row r="40" spans="5:14" x14ac:dyDescent="0.35">
      <c r="E40" s="330" t="s">
        <v>462</v>
      </c>
      <c r="F40" s="333">
        <v>7500</v>
      </c>
      <c r="H40" s="375">
        <v>4500</v>
      </c>
      <c r="J40" s="375">
        <v>0</v>
      </c>
      <c r="L40" s="375">
        <f>+F40-H40-J40</f>
        <v>3000</v>
      </c>
      <c r="N40" s="361">
        <f t="shared" si="3"/>
        <v>0.6</v>
      </c>
    </row>
    <row r="41" spans="5:14" x14ac:dyDescent="0.35">
      <c r="E41" s="330" t="s">
        <v>461</v>
      </c>
      <c r="F41" s="333">
        <v>5567.7</v>
      </c>
      <c r="H41" s="375">
        <v>0</v>
      </c>
      <c r="J41" s="375">
        <v>0</v>
      </c>
      <c r="L41" s="375">
        <f t="shared" ref="L41:L42" si="5">+F41-H41-J41</f>
        <v>5567.7</v>
      </c>
      <c r="N41" s="361">
        <f t="shared" si="3"/>
        <v>0</v>
      </c>
    </row>
    <row r="42" spans="5:14" x14ac:dyDescent="0.35">
      <c r="E42" s="330" t="s">
        <v>463</v>
      </c>
      <c r="F42" s="333">
        <v>5567.7</v>
      </c>
      <c r="H42" s="375">
        <v>0</v>
      </c>
      <c r="J42" s="375">
        <v>0</v>
      </c>
      <c r="L42" s="375">
        <f t="shared" si="5"/>
        <v>5567.7</v>
      </c>
      <c r="N42" s="361">
        <f t="shared" si="3"/>
        <v>0</v>
      </c>
    </row>
    <row r="43" spans="5:14" ht="16" thickBot="1" x14ac:dyDescent="0.4">
      <c r="E43" s="339" t="s">
        <v>511</v>
      </c>
      <c r="F43" s="342">
        <v>24520</v>
      </c>
      <c r="H43" s="377">
        <v>18000</v>
      </c>
      <c r="J43" s="377">
        <v>0</v>
      </c>
      <c r="L43" s="377">
        <f>+F43-H43-J43</f>
        <v>6520</v>
      </c>
      <c r="N43" s="361">
        <f t="shared" si="3"/>
        <v>0.73409461663947795</v>
      </c>
    </row>
    <row r="44" spans="5:14" ht="16.5" thickTop="1" thickBot="1" x14ac:dyDescent="0.4">
      <c r="E44" s="343" t="s">
        <v>453</v>
      </c>
      <c r="F44" s="345">
        <f>SUM(F33:F43)</f>
        <v>191375.40000000002</v>
      </c>
      <c r="H44" s="378">
        <f>SUM(H33:H43)</f>
        <v>24720.799999999999</v>
      </c>
      <c r="J44" s="378">
        <f>SUM(J33:J43)</f>
        <v>17285.22</v>
      </c>
      <c r="L44" s="378">
        <f>SUM(L33:L43)</f>
        <v>149369.38000000003</v>
      </c>
    </row>
    <row r="45" spans="5:14" ht="5.5" customHeight="1" thickBot="1" x14ac:dyDescent="0.4">
      <c r="J45" s="263"/>
    </row>
    <row r="46" spans="5:14" ht="16" thickBot="1" x14ac:dyDescent="0.4">
      <c r="E46" s="308" t="s">
        <v>472</v>
      </c>
      <c r="F46" s="386">
        <f>+F30-F44</f>
        <v>-49710.600000000035</v>
      </c>
      <c r="G46" s="383"/>
      <c r="H46" s="384">
        <f>+H30-H44</f>
        <v>5491.07</v>
      </c>
      <c r="I46" s="383"/>
      <c r="J46" s="495">
        <f>+J30-J44</f>
        <v>-16544.22</v>
      </c>
      <c r="K46" s="383"/>
      <c r="L46" s="495">
        <f>+L30-L44</f>
        <v>-122734.25000000003</v>
      </c>
    </row>
    <row r="47" spans="5:14" ht="16" thickBot="1" x14ac:dyDescent="0.35"/>
    <row r="48" spans="5:14" ht="16" thickBot="1" x14ac:dyDescent="0.4">
      <c r="E48" s="348" t="s">
        <v>711</v>
      </c>
      <c r="F48" s="387">
        <f>+F24+F46</f>
        <v>65102.595999999903</v>
      </c>
      <c r="H48" s="388">
        <f>+H24+H46</f>
        <v>22409.81</v>
      </c>
      <c r="J48" s="496">
        <f>+J24+J46</f>
        <v>-8720.6700000000019</v>
      </c>
      <c r="L48" s="496">
        <f>+L24+L46</f>
        <v>-133749.25390000007</v>
      </c>
    </row>
  </sheetData>
  <conditionalFormatting sqref="N1:N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27 N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504A-E47F-42C9-823D-CF3C3624C42B}">
  <dimension ref="B1:E169"/>
  <sheetViews>
    <sheetView workbookViewId="0">
      <selection activeCell="E1" sqref="E1:E1048576"/>
    </sheetView>
  </sheetViews>
  <sheetFormatPr defaultRowHeight="15.5" x14ac:dyDescent="0.35"/>
  <cols>
    <col min="2" max="2" width="5" style="79" bestFit="1" customWidth="1"/>
    <col min="3" max="3" width="56.6640625" style="79" bestFit="1" customWidth="1"/>
    <col min="4" max="4" width="11.83203125" style="79" bestFit="1" customWidth="1"/>
    <col min="5" max="5" width="11.58203125" bestFit="1" customWidth="1"/>
  </cols>
  <sheetData>
    <row r="1" spans="2:5" ht="16" thickBot="1" x14ac:dyDescent="0.4">
      <c r="B1" s="78" t="s">
        <v>614</v>
      </c>
      <c r="E1" s="381" t="s">
        <v>418</v>
      </c>
    </row>
    <row r="2" spans="2:5" x14ac:dyDescent="0.35">
      <c r="B2" s="80">
        <v>1</v>
      </c>
      <c r="C2" s="81" t="s">
        <v>116</v>
      </c>
      <c r="D2" s="82">
        <f>SUM(D3:D7)</f>
        <v>0</v>
      </c>
      <c r="E2" s="382"/>
    </row>
    <row r="3" spans="2:5" x14ac:dyDescent="0.35">
      <c r="B3" s="83" t="s">
        <v>117</v>
      </c>
      <c r="C3" s="84" t="s">
        <v>118</v>
      </c>
      <c r="D3" s="85">
        <v>0</v>
      </c>
      <c r="E3" s="382"/>
    </row>
    <row r="4" spans="2:5" x14ac:dyDescent="0.35">
      <c r="B4" s="83" t="s">
        <v>119</v>
      </c>
      <c r="C4" s="86" t="s">
        <v>120</v>
      </c>
      <c r="D4" s="85">
        <v>0</v>
      </c>
      <c r="E4" s="382"/>
    </row>
    <row r="5" spans="2:5" x14ac:dyDescent="0.35">
      <c r="B5" s="83" t="s">
        <v>121</v>
      </c>
      <c r="C5" s="84" t="s">
        <v>122</v>
      </c>
      <c r="D5" s="85">
        <v>0</v>
      </c>
      <c r="E5" s="382"/>
    </row>
    <row r="6" spans="2:5" x14ac:dyDescent="0.35">
      <c r="B6" s="83" t="s">
        <v>123</v>
      </c>
      <c r="C6" s="84" t="s">
        <v>15</v>
      </c>
      <c r="D6" s="85">
        <v>0</v>
      </c>
      <c r="E6" s="382"/>
    </row>
    <row r="7" spans="2:5" x14ac:dyDescent="0.35">
      <c r="B7" s="83" t="s">
        <v>124</v>
      </c>
      <c r="C7" s="84" t="s">
        <v>125</v>
      </c>
      <c r="D7" s="85">
        <v>0</v>
      </c>
      <c r="E7" s="382"/>
    </row>
    <row r="8" spans="2:5" x14ac:dyDescent="0.35">
      <c r="B8" s="87">
        <v>2</v>
      </c>
      <c r="C8" s="88" t="s">
        <v>126</v>
      </c>
      <c r="D8" s="89">
        <f>SUM(D9:D12)</f>
        <v>0</v>
      </c>
      <c r="E8" s="382"/>
    </row>
    <row r="9" spans="2:5" x14ac:dyDescent="0.35">
      <c r="B9" s="83" t="s">
        <v>127</v>
      </c>
      <c r="C9" s="84" t="s">
        <v>128</v>
      </c>
      <c r="D9" s="85">
        <v>0</v>
      </c>
      <c r="E9" s="382"/>
    </row>
    <row r="10" spans="2:5" x14ac:dyDescent="0.35">
      <c r="B10" s="83" t="s">
        <v>129</v>
      </c>
      <c r="C10" s="84" t="s">
        <v>130</v>
      </c>
      <c r="D10" s="85">
        <v>0</v>
      </c>
      <c r="E10" s="382"/>
    </row>
    <row r="11" spans="2:5" x14ac:dyDescent="0.35">
      <c r="B11" s="83" t="s">
        <v>131</v>
      </c>
      <c r="C11" s="90" t="s">
        <v>132</v>
      </c>
      <c r="D11" s="85">
        <v>0</v>
      </c>
      <c r="E11" s="382"/>
    </row>
    <row r="12" spans="2:5" x14ac:dyDescent="0.35">
      <c r="B12" s="83" t="s">
        <v>133</v>
      </c>
      <c r="C12" s="90" t="s">
        <v>134</v>
      </c>
      <c r="D12" s="85">
        <v>0</v>
      </c>
      <c r="E12" s="382"/>
    </row>
    <row r="13" spans="2:5" x14ac:dyDescent="0.35">
      <c r="B13" s="87">
        <v>3</v>
      </c>
      <c r="C13" s="88" t="s">
        <v>135</v>
      </c>
      <c r="D13" s="89">
        <f>SUM(D14:D15)</f>
        <v>0</v>
      </c>
      <c r="E13" s="382"/>
    </row>
    <row r="14" spans="2:5" x14ac:dyDescent="0.35">
      <c r="B14" s="83" t="s">
        <v>136</v>
      </c>
      <c r="C14" s="84" t="s">
        <v>137</v>
      </c>
      <c r="D14" s="85">
        <v>0</v>
      </c>
      <c r="E14" s="382"/>
    </row>
    <row r="15" spans="2:5" x14ac:dyDescent="0.35">
      <c r="B15" s="83" t="s">
        <v>138</v>
      </c>
      <c r="C15" s="84" t="s">
        <v>139</v>
      </c>
      <c r="D15" s="85">
        <v>0</v>
      </c>
      <c r="E15" s="382"/>
    </row>
    <row r="16" spans="2:5" x14ac:dyDescent="0.35">
      <c r="B16" s="87">
        <v>4</v>
      </c>
      <c r="C16" s="88" t="s">
        <v>140</v>
      </c>
      <c r="D16" s="89">
        <f>+D17</f>
        <v>0</v>
      </c>
      <c r="E16" s="382"/>
    </row>
    <row r="17" spans="2:5" x14ac:dyDescent="0.35">
      <c r="B17" s="83" t="s">
        <v>141</v>
      </c>
      <c r="C17" s="84" t="s">
        <v>142</v>
      </c>
      <c r="D17" s="85">
        <v>0</v>
      </c>
      <c r="E17" s="382"/>
    </row>
    <row r="18" spans="2:5" x14ac:dyDescent="0.35">
      <c r="B18" s="87">
        <v>5</v>
      </c>
      <c r="C18" s="88" t="s">
        <v>143</v>
      </c>
      <c r="D18" s="89">
        <f>SUM(D19:D21)</f>
        <v>0</v>
      </c>
      <c r="E18" s="382"/>
    </row>
    <row r="19" spans="2:5" x14ac:dyDescent="0.35">
      <c r="B19" s="83" t="s">
        <v>144</v>
      </c>
      <c r="C19" s="84" t="s">
        <v>145</v>
      </c>
      <c r="D19" s="85">
        <v>0</v>
      </c>
      <c r="E19" s="382"/>
    </row>
    <row r="20" spans="2:5" x14ac:dyDescent="0.35">
      <c r="B20" s="83" t="s">
        <v>146</v>
      </c>
      <c r="C20" s="84" t="s">
        <v>147</v>
      </c>
      <c r="D20" s="85">
        <v>0</v>
      </c>
      <c r="E20" s="382"/>
    </row>
    <row r="21" spans="2:5" x14ac:dyDescent="0.35">
      <c r="B21" s="83" t="s">
        <v>148</v>
      </c>
      <c r="C21" s="90" t="s">
        <v>149</v>
      </c>
      <c r="D21" s="85">
        <v>0</v>
      </c>
      <c r="E21" s="382"/>
    </row>
    <row r="22" spans="2:5" x14ac:dyDescent="0.35">
      <c r="B22" s="87">
        <v>6</v>
      </c>
      <c r="C22" s="88" t="s">
        <v>150</v>
      </c>
      <c r="D22" s="89">
        <f>SUM(D23:D24)</f>
        <v>0</v>
      </c>
      <c r="E22" s="382"/>
    </row>
    <row r="23" spans="2:5" x14ac:dyDescent="0.35">
      <c r="B23" s="83" t="s">
        <v>151</v>
      </c>
      <c r="C23" s="84" t="s">
        <v>152</v>
      </c>
      <c r="D23" s="85">
        <v>0</v>
      </c>
      <c r="E23" s="382"/>
    </row>
    <row r="24" spans="2:5" ht="16" thickBot="1" x14ac:dyDescent="0.4">
      <c r="B24" s="91" t="s">
        <v>153</v>
      </c>
      <c r="C24" s="92" t="s">
        <v>154</v>
      </c>
      <c r="D24" s="93">
        <v>0</v>
      </c>
      <c r="E24" s="382"/>
    </row>
    <row r="25" spans="2:5" ht="16" thickBot="1" x14ac:dyDescent="0.4">
      <c r="B25" s="94"/>
      <c r="C25" s="95"/>
      <c r="D25" s="96"/>
      <c r="E25" s="382"/>
    </row>
    <row r="26" spans="2:5" ht="16" thickBot="1" x14ac:dyDescent="0.4">
      <c r="B26" s="94"/>
      <c r="C26" s="97" t="s">
        <v>113</v>
      </c>
      <c r="D26" s="98">
        <f>+D22+D18+D16+D13+D8+D2</f>
        <v>0</v>
      </c>
      <c r="E26" s="382"/>
    </row>
    <row r="27" spans="2:5" ht="16" thickBot="1" x14ac:dyDescent="0.4">
      <c r="E27" s="382"/>
    </row>
    <row r="28" spans="2:5" x14ac:dyDescent="0.35">
      <c r="B28" s="99">
        <v>7</v>
      </c>
      <c r="C28" s="81" t="s">
        <v>155</v>
      </c>
      <c r="D28" s="82">
        <f>SUM(D29:D43)</f>
        <v>0</v>
      </c>
      <c r="E28" s="382"/>
    </row>
    <row r="29" spans="2:5" x14ac:dyDescent="0.35">
      <c r="B29" s="100" t="s">
        <v>156</v>
      </c>
      <c r="C29" s="90" t="s">
        <v>157</v>
      </c>
      <c r="D29" s="85">
        <v>0</v>
      </c>
      <c r="E29" s="382"/>
    </row>
    <row r="30" spans="2:5" x14ac:dyDescent="0.35">
      <c r="B30" s="100" t="s">
        <v>158</v>
      </c>
      <c r="C30" s="90" t="s">
        <v>159</v>
      </c>
      <c r="D30" s="85">
        <v>0</v>
      </c>
      <c r="E30" s="382"/>
    </row>
    <row r="31" spans="2:5" x14ac:dyDescent="0.35">
      <c r="B31" s="100" t="s">
        <v>160</v>
      </c>
      <c r="C31" s="90" t="s">
        <v>161</v>
      </c>
      <c r="D31" s="85">
        <v>0</v>
      </c>
      <c r="E31" s="382"/>
    </row>
    <row r="32" spans="2:5" x14ac:dyDescent="0.35">
      <c r="B32" s="100" t="s">
        <v>162</v>
      </c>
      <c r="C32" s="90" t="s">
        <v>163</v>
      </c>
      <c r="D32" s="85">
        <v>0</v>
      </c>
      <c r="E32" s="382"/>
    </row>
    <row r="33" spans="2:5" x14ac:dyDescent="0.35">
      <c r="B33" s="100" t="s">
        <v>164</v>
      </c>
      <c r="C33" s="90" t="s">
        <v>165</v>
      </c>
      <c r="D33" s="85">
        <v>0</v>
      </c>
      <c r="E33" s="382"/>
    </row>
    <row r="34" spans="2:5" x14ac:dyDescent="0.35">
      <c r="B34" s="100" t="s">
        <v>166</v>
      </c>
      <c r="C34" s="90" t="s">
        <v>167</v>
      </c>
      <c r="D34" s="85">
        <v>0</v>
      </c>
      <c r="E34" s="382"/>
    </row>
    <row r="35" spans="2:5" x14ac:dyDescent="0.35">
      <c r="B35" s="100" t="s">
        <v>168</v>
      </c>
      <c r="C35" s="90" t="s">
        <v>169</v>
      </c>
      <c r="D35" s="85">
        <v>0</v>
      </c>
      <c r="E35" s="382"/>
    </row>
    <row r="36" spans="2:5" x14ac:dyDescent="0.35">
      <c r="B36" s="100" t="s">
        <v>170</v>
      </c>
      <c r="C36" s="90" t="s">
        <v>171</v>
      </c>
      <c r="D36" s="85">
        <v>0</v>
      </c>
      <c r="E36" s="382"/>
    </row>
    <row r="37" spans="2:5" x14ac:dyDescent="0.35">
      <c r="B37" s="100" t="s">
        <v>172</v>
      </c>
      <c r="C37" s="90" t="s">
        <v>173</v>
      </c>
      <c r="D37" s="85">
        <v>0</v>
      </c>
      <c r="E37" s="382"/>
    </row>
    <row r="38" spans="2:5" x14ac:dyDescent="0.35">
      <c r="B38" s="100" t="s">
        <v>174</v>
      </c>
      <c r="C38" s="90" t="s">
        <v>175</v>
      </c>
      <c r="D38" s="85">
        <v>0</v>
      </c>
      <c r="E38" s="382"/>
    </row>
    <row r="39" spans="2:5" x14ac:dyDescent="0.35">
      <c r="B39" s="100" t="s">
        <v>176</v>
      </c>
      <c r="C39" s="90" t="s">
        <v>177</v>
      </c>
      <c r="D39" s="85">
        <v>0</v>
      </c>
      <c r="E39" s="382"/>
    </row>
    <row r="40" spans="2:5" x14ac:dyDescent="0.35">
      <c r="B40" s="100" t="s">
        <v>178</v>
      </c>
      <c r="C40" s="90" t="s">
        <v>179</v>
      </c>
      <c r="D40" s="85">
        <v>0</v>
      </c>
      <c r="E40" s="382"/>
    </row>
    <row r="41" spans="2:5" x14ac:dyDescent="0.35">
      <c r="B41" s="100" t="s">
        <v>180</v>
      </c>
      <c r="C41" s="90" t="s">
        <v>181</v>
      </c>
      <c r="D41" s="85">
        <v>0</v>
      </c>
      <c r="E41" s="382"/>
    </row>
    <row r="42" spans="2:5" x14ac:dyDescent="0.35">
      <c r="B42" s="100" t="s">
        <v>182</v>
      </c>
      <c r="C42" s="90" t="s">
        <v>163</v>
      </c>
      <c r="D42" s="85">
        <v>0</v>
      </c>
      <c r="E42" s="382"/>
    </row>
    <row r="43" spans="2:5" x14ac:dyDescent="0.35">
      <c r="B43" s="100" t="s">
        <v>183</v>
      </c>
      <c r="C43" s="90" t="s">
        <v>184</v>
      </c>
      <c r="D43" s="85">
        <v>0</v>
      </c>
      <c r="E43" s="382"/>
    </row>
    <row r="44" spans="2:5" x14ac:dyDescent="0.35">
      <c r="B44" s="101">
        <v>8</v>
      </c>
      <c r="C44" s="88" t="s">
        <v>185</v>
      </c>
      <c r="D44" s="89">
        <f>SUM(D45:D72)</f>
        <v>0</v>
      </c>
      <c r="E44" s="382"/>
    </row>
    <row r="45" spans="2:5" x14ac:dyDescent="0.35">
      <c r="B45" s="100" t="s">
        <v>186</v>
      </c>
      <c r="C45" s="90" t="s">
        <v>187</v>
      </c>
      <c r="D45" s="85">
        <v>0</v>
      </c>
      <c r="E45" s="382"/>
    </row>
    <row r="46" spans="2:5" x14ac:dyDescent="0.35">
      <c r="B46" s="100" t="s">
        <v>188</v>
      </c>
      <c r="C46" s="90" t="s">
        <v>189</v>
      </c>
      <c r="D46" s="85">
        <v>0</v>
      </c>
      <c r="E46" s="382"/>
    </row>
    <row r="47" spans="2:5" x14ac:dyDescent="0.35">
      <c r="B47" s="100" t="s">
        <v>190</v>
      </c>
      <c r="C47" s="90" t="s">
        <v>191</v>
      </c>
      <c r="D47" s="85">
        <v>0</v>
      </c>
      <c r="E47" s="382"/>
    </row>
    <row r="48" spans="2:5" x14ac:dyDescent="0.35">
      <c r="B48" s="100" t="s">
        <v>192</v>
      </c>
      <c r="C48" s="90" t="s">
        <v>193</v>
      </c>
      <c r="D48" s="85">
        <v>0</v>
      </c>
      <c r="E48" s="382"/>
    </row>
    <row r="49" spans="2:5" x14ac:dyDescent="0.35">
      <c r="B49" s="100" t="s">
        <v>194</v>
      </c>
      <c r="C49" s="90" t="s">
        <v>195</v>
      </c>
      <c r="D49" s="85">
        <v>0</v>
      </c>
      <c r="E49" s="382"/>
    </row>
    <row r="50" spans="2:5" x14ac:dyDescent="0.35">
      <c r="B50" s="100" t="s">
        <v>196</v>
      </c>
      <c r="C50" s="90" t="s">
        <v>197</v>
      </c>
      <c r="D50" s="85">
        <v>0</v>
      </c>
      <c r="E50" s="382"/>
    </row>
    <row r="51" spans="2:5" x14ac:dyDescent="0.35">
      <c r="B51" s="100" t="s">
        <v>198</v>
      </c>
      <c r="C51" s="90" t="s">
        <v>199</v>
      </c>
      <c r="D51" s="85">
        <v>0</v>
      </c>
      <c r="E51" s="382"/>
    </row>
    <row r="52" spans="2:5" x14ac:dyDescent="0.35">
      <c r="B52" s="100" t="s">
        <v>200</v>
      </c>
      <c r="C52" s="90" t="s">
        <v>201</v>
      </c>
      <c r="D52" s="85">
        <v>0</v>
      </c>
      <c r="E52" s="382"/>
    </row>
    <row r="53" spans="2:5" x14ac:dyDescent="0.35">
      <c r="B53" s="100" t="s">
        <v>202</v>
      </c>
      <c r="C53" s="90" t="s">
        <v>203</v>
      </c>
      <c r="D53" s="85">
        <v>0</v>
      </c>
      <c r="E53" s="382"/>
    </row>
    <row r="54" spans="2:5" x14ac:dyDescent="0.35">
      <c r="B54" s="100" t="s">
        <v>204</v>
      </c>
      <c r="C54" s="90" t="s">
        <v>205</v>
      </c>
      <c r="D54" s="85">
        <v>0</v>
      </c>
      <c r="E54" s="382"/>
    </row>
    <row r="55" spans="2:5" x14ac:dyDescent="0.35">
      <c r="B55" s="100" t="s">
        <v>206</v>
      </c>
      <c r="C55" s="90" t="s">
        <v>207</v>
      </c>
      <c r="D55" s="85">
        <v>0</v>
      </c>
      <c r="E55" s="382"/>
    </row>
    <row r="56" spans="2:5" x14ac:dyDescent="0.35">
      <c r="B56" s="100" t="s">
        <v>208</v>
      </c>
      <c r="C56" s="90" t="s">
        <v>209</v>
      </c>
      <c r="D56" s="85">
        <v>0</v>
      </c>
      <c r="E56" s="382"/>
    </row>
    <row r="57" spans="2:5" x14ac:dyDescent="0.35">
      <c r="B57" s="100" t="s">
        <v>210</v>
      </c>
      <c r="C57" s="90" t="s">
        <v>211</v>
      </c>
      <c r="D57" s="85">
        <v>0</v>
      </c>
      <c r="E57" s="382"/>
    </row>
    <row r="58" spans="2:5" x14ac:dyDescent="0.35">
      <c r="B58" s="100" t="s">
        <v>212</v>
      </c>
      <c r="C58" s="90" t="s">
        <v>213</v>
      </c>
      <c r="D58" s="85">
        <v>0</v>
      </c>
      <c r="E58" s="382"/>
    </row>
    <row r="59" spans="2:5" x14ac:dyDescent="0.35">
      <c r="B59" s="100" t="s">
        <v>214</v>
      </c>
      <c r="C59" s="90" t="s">
        <v>215</v>
      </c>
      <c r="D59" s="85">
        <v>0</v>
      </c>
      <c r="E59" s="382"/>
    </row>
    <row r="60" spans="2:5" x14ac:dyDescent="0.35">
      <c r="B60" s="100" t="s">
        <v>216</v>
      </c>
      <c r="C60" s="90" t="s">
        <v>217</v>
      </c>
      <c r="D60" s="85">
        <v>0</v>
      </c>
      <c r="E60" s="382"/>
    </row>
    <row r="61" spans="2:5" x14ac:dyDescent="0.35">
      <c r="B61" s="100" t="s">
        <v>218</v>
      </c>
      <c r="C61" s="90" t="s">
        <v>219</v>
      </c>
      <c r="D61" s="85">
        <v>0</v>
      </c>
      <c r="E61" s="382"/>
    </row>
    <row r="62" spans="2:5" x14ac:dyDescent="0.35">
      <c r="B62" s="100" t="s">
        <v>220</v>
      </c>
      <c r="C62" s="90" t="s">
        <v>221</v>
      </c>
      <c r="D62" s="85">
        <v>0</v>
      </c>
      <c r="E62" s="382"/>
    </row>
    <row r="63" spans="2:5" x14ac:dyDescent="0.35">
      <c r="B63" s="100" t="s">
        <v>222</v>
      </c>
      <c r="C63" s="90" t="s">
        <v>223</v>
      </c>
      <c r="D63" s="85">
        <v>0</v>
      </c>
      <c r="E63" s="382"/>
    </row>
    <row r="64" spans="2:5" x14ac:dyDescent="0.35">
      <c r="B64" s="100" t="s">
        <v>224</v>
      </c>
      <c r="C64" s="90" t="s">
        <v>225</v>
      </c>
      <c r="D64" s="85">
        <v>0</v>
      </c>
      <c r="E64" s="382"/>
    </row>
    <row r="65" spans="2:5" x14ac:dyDescent="0.35">
      <c r="B65" s="100" t="s">
        <v>226</v>
      </c>
      <c r="C65" s="90" t="s">
        <v>227</v>
      </c>
      <c r="D65" s="85">
        <v>0</v>
      </c>
      <c r="E65" s="382"/>
    </row>
    <row r="66" spans="2:5" x14ac:dyDescent="0.35">
      <c r="B66" s="100" t="s">
        <v>228</v>
      </c>
      <c r="C66" s="90" t="s">
        <v>229</v>
      </c>
      <c r="D66" s="85">
        <v>0</v>
      </c>
      <c r="E66" s="382"/>
    </row>
    <row r="67" spans="2:5" x14ac:dyDescent="0.35">
      <c r="B67" s="100" t="s">
        <v>230</v>
      </c>
      <c r="C67" s="90" t="s">
        <v>231</v>
      </c>
      <c r="D67" s="85">
        <v>0</v>
      </c>
      <c r="E67" s="382"/>
    </row>
    <row r="68" spans="2:5" x14ac:dyDescent="0.35">
      <c r="B68" s="100" t="s">
        <v>232</v>
      </c>
      <c r="C68" s="90" t="s">
        <v>233</v>
      </c>
      <c r="D68" s="85">
        <v>0</v>
      </c>
      <c r="E68" s="382"/>
    </row>
    <row r="69" spans="2:5" x14ac:dyDescent="0.35">
      <c r="B69" s="100" t="s">
        <v>234</v>
      </c>
      <c r="C69" s="90" t="s">
        <v>235</v>
      </c>
      <c r="D69" s="85">
        <v>0</v>
      </c>
      <c r="E69" s="382"/>
    </row>
    <row r="70" spans="2:5" x14ac:dyDescent="0.35">
      <c r="B70" s="100" t="s">
        <v>236</v>
      </c>
      <c r="C70" s="90" t="s">
        <v>237</v>
      </c>
      <c r="D70" s="85">
        <v>0</v>
      </c>
      <c r="E70" s="382"/>
    </row>
    <row r="71" spans="2:5" x14ac:dyDescent="0.35">
      <c r="B71" s="100" t="s">
        <v>238</v>
      </c>
      <c r="C71" s="90" t="s">
        <v>239</v>
      </c>
      <c r="D71" s="85">
        <v>0</v>
      </c>
      <c r="E71" s="382"/>
    </row>
    <row r="72" spans="2:5" x14ac:dyDescent="0.35">
      <c r="B72" s="100" t="s">
        <v>240</v>
      </c>
      <c r="C72" s="90" t="s">
        <v>241</v>
      </c>
      <c r="D72" s="85">
        <v>0</v>
      </c>
      <c r="E72" s="382"/>
    </row>
    <row r="73" spans="2:5" x14ac:dyDescent="0.35">
      <c r="B73" s="87">
        <v>9</v>
      </c>
      <c r="C73" s="88" t="s">
        <v>242</v>
      </c>
      <c r="D73" s="89">
        <f>SUM(D74:D85)</f>
        <v>0</v>
      </c>
      <c r="E73" s="382"/>
    </row>
    <row r="74" spans="2:5" x14ac:dyDescent="0.35">
      <c r="B74" s="100" t="s">
        <v>243</v>
      </c>
      <c r="C74" s="90" t="s">
        <v>244</v>
      </c>
      <c r="D74" s="85">
        <v>0</v>
      </c>
      <c r="E74" s="382"/>
    </row>
    <row r="75" spans="2:5" x14ac:dyDescent="0.35">
      <c r="B75" s="100" t="s">
        <v>245</v>
      </c>
      <c r="C75" s="90" t="s">
        <v>246</v>
      </c>
      <c r="D75" s="85">
        <v>0</v>
      </c>
      <c r="E75" s="382"/>
    </row>
    <row r="76" spans="2:5" x14ac:dyDescent="0.35">
      <c r="B76" s="100" t="s">
        <v>247</v>
      </c>
      <c r="C76" s="90" t="s">
        <v>248</v>
      </c>
      <c r="D76" s="85">
        <v>0</v>
      </c>
      <c r="E76" s="382"/>
    </row>
    <row r="77" spans="2:5" x14ac:dyDescent="0.35">
      <c r="B77" s="100" t="s">
        <v>249</v>
      </c>
      <c r="C77" s="90" t="s">
        <v>250</v>
      </c>
      <c r="D77" s="85">
        <v>0</v>
      </c>
      <c r="E77" s="382"/>
    </row>
    <row r="78" spans="2:5" x14ac:dyDescent="0.35">
      <c r="B78" s="100" t="s">
        <v>251</v>
      </c>
      <c r="C78" s="90" t="s">
        <v>252</v>
      </c>
      <c r="D78" s="85">
        <v>0</v>
      </c>
      <c r="E78" s="382"/>
    </row>
    <row r="79" spans="2:5" x14ac:dyDescent="0.35">
      <c r="B79" s="100" t="s">
        <v>253</v>
      </c>
      <c r="C79" s="90" t="s">
        <v>254</v>
      </c>
      <c r="D79" s="85">
        <v>0</v>
      </c>
      <c r="E79" s="382"/>
    </row>
    <row r="80" spans="2:5" x14ac:dyDescent="0.35">
      <c r="B80" s="100" t="s">
        <v>255</v>
      </c>
      <c r="C80" s="90" t="s">
        <v>256</v>
      </c>
      <c r="D80" s="85">
        <v>0</v>
      </c>
      <c r="E80" s="382"/>
    </row>
    <row r="81" spans="2:5" x14ac:dyDescent="0.35">
      <c r="B81" s="100" t="s">
        <v>257</v>
      </c>
      <c r="C81" s="90" t="s">
        <v>258</v>
      </c>
      <c r="D81" s="85">
        <v>0</v>
      </c>
      <c r="E81" s="382"/>
    </row>
    <row r="82" spans="2:5" x14ac:dyDescent="0.35">
      <c r="B82" s="100" t="s">
        <v>259</v>
      </c>
      <c r="C82" s="90" t="s">
        <v>260</v>
      </c>
      <c r="D82" s="85">
        <v>0</v>
      </c>
      <c r="E82" s="382"/>
    </row>
    <row r="83" spans="2:5" x14ac:dyDescent="0.35">
      <c r="B83" s="100" t="s">
        <v>261</v>
      </c>
      <c r="C83" s="90" t="s">
        <v>262</v>
      </c>
      <c r="D83" s="85">
        <v>0</v>
      </c>
      <c r="E83" s="382"/>
    </row>
    <row r="84" spans="2:5" x14ac:dyDescent="0.35">
      <c r="B84" s="100" t="s">
        <v>263</v>
      </c>
      <c r="C84" s="90" t="s">
        <v>264</v>
      </c>
      <c r="D84" s="85">
        <v>0</v>
      </c>
      <c r="E84" s="382"/>
    </row>
    <row r="85" spans="2:5" x14ac:dyDescent="0.35">
      <c r="B85" s="100" t="s">
        <v>265</v>
      </c>
      <c r="C85" s="90" t="s">
        <v>266</v>
      </c>
      <c r="D85" s="85">
        <v>0</v>
      </c>
      <c r="E85" s="382"/>
    </row>
    <row r="86" spans="2:5" x14ac:dyDescent="0.35">
      <c r="B86" s="101">
        <v>10</v>
      </c>
      <c r="C86" s="88" t="s">
        <v>267</v>
      </c>
      <c r="D86" s="89">
        <f>SUM(D87:D96)</f>
        <v>0</v>
      </c>
      <c r="E86" s="382"/>
    </row>
    <row r="87" spans="2:5" x14ac:dyDescent="0.35">
      <c r="B87" s="100" t="s">
        <v>268</v>
      </c>
      <c r="C87" s="90" t="s">
        <v>269</v>
      </c>
      <c r="D87" s="85">
        <v>0</v>
      </c>
      <c r="E87" s="382"/>
    </row>
    <row r="88" spans="2:5" x14ac:dyDescent="0.35">
      <c r="B88" s="100" t="s">
        <v>270</v>
      </c>
      <c r="C88" s="102" t="s">
        <v>271</v>
      </c>
      <c r="D88" s="85">
        <v>0</v>
      </c>
      <c r="E88" s="382"/>
    </row>
    <row r="89" spans="2:5" x14ac:dyDescent="0.35">
      <c r="B89" s="100" t="s">
        <v>272</v>
      </c>
      <c r="C89" s="102" t="s">
        <v>273</v>
      </c>
      <c r="D89" s="85">
        <v>0</v>
      </c>
      <c r="E89" s="382"/>
    </row>
    <row r="90" spans="2:5" x14ac:dyDescent="0.35">
      <c r="B90" s="100" t="s">
        <v>274</v>
      </c>
      <c r="C90" s="84" t="s">
        <v>275</v>
      </c>
      <c r="D90" s="85">
        <v>0</v>
      </c>
      <c r="E90" s="382"/>
    </row>
    <row r="91" spans="2:5" x14ac:dyDescent="0.35">
      <c r="B91" s="100" t="s">
        <v>276</v>
      </c>
      <c r="C91" s="84" t="s">
        <v>277</v>
      </c>
      <c r="D91" s="85">
        <v>0</v>
      </c>
      <c r="E91" s="382"/>
    </row>
    <row r="92" spans="2:5" x14ac:dyDescent="0.35">
      <c r="B92" s="100" t="s">
        <v>278</v>
      </c>
      <c r="C92" s="84" t="s">
        <v>279</v>
      </c>
      <c r="D92" s="85">
        <v>0</v>
      </c>
      <c r="E92" s="382"/>
    </row>
    <row r="93" spans="2:5" x14ac:dyDescent="0.35">
      <c r="B93" s="100" t="s">
        <v>280</v>
      </c>
      <c r="C93" s="84" t="s">
        <v>281</v>
      </c>
      <c r="D93" s="85">
        <v>0</v>
      </c>
      <c r="E93" s="382"/>
    </row>
    <row r="94" spans="2:5" x14ac:dyDescent="0.35">
      <c r="B94" s="100" t="s">
        <v>282</v>
      </c>
      <c r="C94" s="84" t="s">
        <v>283</v>
      </c>
      <c r="D94" s="85">
        <v>0</v>
      </c>
      <c r="E94" s="382"/>
    </row>
    <row r="95" spans="2:5" x14ac:dyDescent="0.35">
      <c r="B95" s="100" t="s">
        <v>284</v>
      </c>
      <c r="C95" s="84" t="s">
        <v>285</v>
      </c>
      <c r="D95" s="85">
        <v>0</v>
      </c>
      <c r="E95" s="382"/>
    </row>
    <row r="96" spans="2:5" x14ac:dyDescent="0.35">
      <c r="B96" s="100" t="s">
        <v>286</v>
      </c>
      <c r="C96" s="84" t="s">
        <v>287</v>
      </c>
      <c r="D96" s="85">
        <v>0</v>
      </c>
      <c r="E96" s="382"/>
    </row>
    <row r="97" spans="2:5" x14ac:dyDescent="0.35">
      <c r="B97" s="101">
        <v>11</v>
      </c>
      <c r="C97" s="88" t="s">
        <v>288</v>
      </c>
      <c r="D97" s="89">
        <f>SUM(D98:D104)</f>
        <v>0</v>
      </c>
      <c r="E97" s="382"/>
    </row>
    <row r="98" spans="2:5" x14ac:dyDescent="0.35">
      <c r="B98" s="100" t="s">
        <v>289</v>
      </c>
      <c r="C98" s="84" t="s">
        <v>290</v>
      </c>
      <c r="D98" s="85">
        <v>0</v>
      </c>
      <c r="E98" s="382"/>
    </row>
    <row r="99" spans="2:5" x14ac:dyDescent="0.35">
      <c r="B99" s="100" t="s">
        <v>291</v>
      </c>
      <c r="C99" s="102" t="s">
        <v>292</v>
      </c>
      <c r="D99" s="85">
        <v>0</v>
      </c>
      <c r="E99" s="382"/>
    </row>
    <row r="100" spans="2:5" x14ac:dyDescent="0.35">
      <c r="B100" s="100" t="s">
        <v>293</v>
      </c>
      <c r="C100" s="84" t="s">
        <v>21</v>
      </c>
      <c r="D100" s="85">
        <v>0</v>
      </c>
      <c r="E100" s="382"/>
    </row>
    <row r="101" spans="2:5" x14ac:dyDescent="0.35">
      <c r="B101" s="100" t="s">
        <v>294</v>
      </c>
      <c r="C101" s="90" t="s">
        <v>295</v>
      </c>
      <c r="D101" s="85">
        <v>0</v>
      </c>
      <c r="E101" s="382"/>
    </row>
    <row r="102" spans="2:5" x14ac:dyDescent="0.35">
      <c r="B102" s="100" t="s">
        <v>296</v>
      </c>
      <c r="C102" s="84" t="s">
        <v>297</v>
      </c>
      <c r="D102" s="85">
        <v>0</v>
      </c>
      <c r="E102" s="382"/>
    </row>
    <row r="103" spans="2:5" x14ac:dyDescent="0.35">
      <c r="B103" s="100" t="s">
        <v>298</v>
      </c>
      <c r="C103" s="90" t="s">
        <v>299</v>
      </c>
      <c r="D103" s="85">
        <v>0</v>
      </c>
      <c r="E103" s="382"/>
    </row>
    <row r="104" spans="2:5" x14ac:dyDescent="0.35">
      <c r="B104" s="100" t="s">
        <v>300</v>
      </c>
      <c r="C104" s="90" t="s">
        <v>301</v>
      </c>
      <c r="D104" s="85">
        <v>0</v>
      </c>
      <c r="E104" s="382"/>
    </row>
    <row r="105" spans="2:5" x14ac:dyDescent="0.35">
      <c r="B105" s="101">
        <v>12</v>
      </c>
      <c r="C105" s="88" t="s">
        <v>302</v>
      </c>
      <c r="D105" s="89">
        <f>SUM(D106:D109)</f>
        <v>0</v>
      </c>
      <c r="E105" s="382"/>
    </row>
    <row r="106" spans="2:5" x14ac:dyDescent="0.35">
      <c r="B106" s="100" t="s">
        <v>303</v>
      </c>
      <c r="C106" s="102" t="s">
        <v>27</v>
      </c>
      <c r="D106" s="85">
        <v>0</v>
      </c>
      <c r="E106" s="382"/>
    </row>
    <row r="107" spans="2:5" x14ac:dyDescent="0.35">
      <c r="B107" s="100" t="s">
        <v>304</v>
      </c>
      <c r="C107" s="102" t="s">
        <v>305</v>
      </c>
      <c r="D107" s="85">
        <v>0</v>
      </c>
      <c r="E107" s="382"/>
    </row>
    <row r="108" spans="2:5" x14ac:dyDescent="0.35">
      <c r="B108" s="100" t="s">
        <v>306</v>
      </c>
      <c r="C108" s="102" t="s">
        <v>307</v>
      </c>
      <c r="D108" s="85">
        <v>0</v>
      </c>
      <c r="E108" s="382"/>
    </row>
    <row r="109" spans="2:5" x14ac:dyDescent="0.35">
      <c r="B109" s="100" t="s">
        <v>308</v>
      </c>
      <c r="C109" s="102" t="s">
        <v>139</v>
      </c>
      <c r="D109" s="85">
        <v>0</v>
      </c>
      <c r="E109" s="382"/>
    </row>
    <row r="110" spans="2:5" x14ac:dyDescent="0.35">
      <c r="B110" s="101">
        <v>13</v>
      </c>
      <c r="C110" s="88" t="s">
        <v>309</v>
      </c>
      <c r="D110" s="89">
        <f>SUM(D111:D112)</f>
        <v>0</v>
      </c>
      <c r="E110" s="382"/>
    </row>
    <row r="111" spans="2:5" x14ac:dyDescent="0.35">
      <c r="B111" s="100" t="s">
        <v>310</v>
      </c>
      <c r="C111" s="90" t="s">
        <v>311</v>
      </c>
      <c r="D111" s="85">
        <v>0</v>
      </c>
      <c r="E111" s="382"/>
    </row>
    <row r="112" spans="2:5" x14ac:dyDescent="0.35">
      <c r="B112" s="100" t="s">
        <v>312</v>
      </c>
      <c r="C112" s="90" t="s">
        <v>313</v>
      </c>
      <c r="D112" s="85">
        <v>0</v>
      </c>
      <c r="E112" s="382"/>
    </row>
    <row r="113" spans="2:5" x14ac:dyDescent="0.35">
      <c r="B113" s="101">
        <v>14</v>
      </c>
      <c r="C113" s="88" t="s">
        <v>314</v>
      </c>
      <c r="D113" s="89">
        <f>SUM(D114:D116)</f>
        <v>0</v>
      </c>
      <c r="E113" s="382"/>
    </row>
    <row r="114" spans="2:5" x14ac:dyDescent="0.35">
      <c r="B114" s="100" t="s">
        <v>315</v>
      </c>
      <c r="C114" s="102" t="s">
        <v>316</v>
      </c>
      <c r="D114" s="85">
        <v>0</v>
      </c>
      <c r="E114" s="382"/>
    </row>
    <row r="115" spans="2:5" x14ac:dyDescent="0.35">
      <c r="B115" s="100" t="s">
        <v>317</v>
      </c>
      <c r="C115" s="102" t="s">
        <v>318</v>
      </c>
      <c r="D115" s="85">
        <v>0</v>
      </c>
      <c r="E115" s="382"/>
    </row>
    <row r="116" spans="2:5" x14ac:dyDescent="0.35">
      <c r="B116" s="100" t="s">
        <v>319</v>
      </c>
      <c r="C116" s="102" t="s">
        <v>20</v>
      </c>
      <c r="D116" s="85">
        <v>0</v>
      </c>
      <c r="E116" s="382"/>
    </row>
    <row r="117" spans="2:5" x14ac:dyDescent="0.35">
      <c r="B117" s="101">
        <v>15</v>
      </c>
      <c r="C117" s="88" t="s">
        <v>320</v>
      </c>
      <c r="D117" s="89">
        <f>SUM(D118:D119)</f>
        <v>0</v>
      </c>
      <c r="E117" s="382"/>
    </row>
    <row r="118" spans="2:5" x14ac:dyDescent="0.35">
      <c r="B118" s="100" t="s">
        <v>321</v>
      </c>
      <c r="C118" s="90" t="s">
        <v>322</v>
      </c>
      <c r="D118" s="85">
        <v>0</v>
      </c>
      <c r="E118" s="382"/>
    </row>
    <row r="119" spans="2:5" x14ac:dyDescent="0.35">
      <c r="B119" s="100" t="s">
        <v>323</v>
      </c>
      <c r="C119" s="84" t="s">
        <v>324</v>
      </c>
      <c r="D119" s="85">
        <v>0</v>
      </c>
      <c r="E119" s="382"/>
    </row>
    <row r="120" spans="2:5" x14ac:dyDescent="0.35">
      <c r="B120" s="101">
        <v>16</v>
      </c>
      <c r="C120" s="88" t="s">
        <v>325</v>
      </c>
      <c r="D120" s="89">
        <f>SUM(D121)</f>
        <v>0</v>
      </c>
      <c r="E120" s="382"/>
    </row>
    <row r="121" spans="2:5" x14ac:dyDescent="0.35">
      <c r="B121" s="103" t="s">
        <v>326</v>
      </c>
      <c r="C121" s="102" t="s">
        <v>327</v>
      </c>
      <c r="D121" s="85">
        <v>0</v>
      </c>
      <c r="E121" s="382"/>
    </row>
    <row r="122" spans="2:5" x14ac:dyDescent="0.35">
      <c r="B122" s="101">
        <v>17</v>
      </c>
      <c r="C122" s="88" t="s">
        <v>328</v>
      </c>
      <c r="D122" s="89">
        <f>SUM(D123:D138)</f>
        <v>0</v>
      </c>
      <c r="E122" s="382"/>
    </row>
    <row r="123" spans="2:5" x14ac:dyDescent="0.35">
      <c r="B123" s="100" t="s">
        <v>329</v>
      </c>
      <c r="C123" s="90" t="s">
        <v>330</v>
      </c>
      <c r="D123" s="85">
        <v>0</v>
      </c>
      <c r="E123" s="382"/>
    </row>
    <row r="124" spans="2:5" x14ac:dyDescent="0.35">
      <c r="B124" s="100" t="s">
        <v>331</v>
      </c>
      <c r="C124" s="90" t="s">
        <v>332</v>
      </c>
      <c r="D124" s="85">
        <v>0</v>
      </c>
      <c r="E124" s="382"/>
    </row>
    <row r="125" spans="2:5" x14ac:dyDescent="0.35">
      <c r="B125" s="100" t="s">
        <v>333</v>
      </c>
      <c r="C125" s="90" t="s">
        <v>334</v>
      </c>
      <c r="D125" s="85">
        <v>0</v>
      </c>
      <c r="E125" s="382"/>
    </row>
    <row r="126" spans="2:5" x14ac:dyDescent="0.35">
      <c r="B126" s="100" t="s">
        <v>335</v>
      </c>
      <c r="C126" s="90" t="s">
        <v>336</v>
      </c>
      <c r="D126" s="85">
        <v>0</v>
      </c>
      <c r="E126" s="382"/>
    </row>
    <row r="127" spans="2:5" x14ac:dyDescent="0.35">
      <c r="B127" s="100" t="s">
        <v>337</v>
      </c>
      <c r="C127" s="90" t="s">
        <v>338</v>
      </c>
      <c r="D127" s="85">
        <v>0</v>
      </c>
      <c r="E127" s="382"/>
    </row>
    <row r="128" spans="2:5" x14ac:dyDescent="0.35">
      <c r="B128" s="100" t="s">
        <v>339</v>
      </c>
      <c r="C128" s="90" t="s">
        <v>340</v>
      </c>
      <c r="D128" s="85">
        <v>0</v>
      </c>
      <c r="E128" s="382"/>
    </row>
    <row r="129" spans="2:5" x14ac:dyDescent="0.35">
      <c r="B129" s="100" t="s">
        <v>341</v>
      </c>
      <c r="C129" s="90" t="s">
        <v>342</v>
      </c>
      <c r="D129" s="85">
        <v>0</v>
      </c>
      <c r="E129" s="382"/>
    </row>
    <row r="130" spans="2:5" x14ac:dyDescent="0.35">
      <c r="B130" s="100" t="s">
        <v>343</v>
      </c>
      <c r="C130" s="90" t="s">
        <v>344</v>
      </c>
      <c r="D130" s="85">
        <v>0</v>
      </c>
      <c r="E130" s="382"/>
    </row>
    <row r="131" spans="2:5" x14ac:dyDescent="0.35">
      <c r="B131" s="100" t="s">
        <v>345</v>
      </c>
      <c r="C131" s="90" t="s">
        <v>346</v>
      </c>
      <c r="D131" s="85">
        <v>0</v>
      </c>
      <c r="E131" s="382"/>
    </row>
    <row r="132" spans="2:5" x14ac:dyDescent="0.35">
      <c r="B132" s="100" t="s">
        <v>347</v>
      </c>
      <c r="C132" s="90" t="s">
        <v>348</v>
      </c>
      <c r="D132" s="85">
        <v>0</v>
      </c>
      <c r="E132" s="382"/>
    </row>
    <row r="133" spans="2:5" x14ac:dyDescent="0.35">
      <c r="B133" s="100" t="s">
        <v>349</v>
      </c>
      <c r="C133" s="90" t="s">
        <v>350</v>
      </c>
      <c r="D133" s="85">
        <v>0</v>
      </c>
      <c r="E133" s="382"/>
    </row>
    <row r="134" spans="2:5" x14ac:dyDescent="0.35">
      <c r="B134" s="100" t="s">
        <v>351</v>
      </c>
      <c r="C134" s="90" t="s">
        <v>352</v>
      </c>
      <c r="D134" s="85">
        <v>0</v>
      </c>
      <c r="E134" s="382"/>
    </row>
    <row r="135" spans="2:5" x14ac:dyDescent="0.35">
      <c r="B135" s="100" t="s">
        <v>353</v>
      </c>
      <c r="C135" s="90" t="s">
        <v>354</v>
      </c>
      <c r="D135" s="85">
        <v>0</v>
      </c>
      <c r="E135" s="382"/>
    </row>
    <row r="136" spans="2:5" x14ac:dyDescent="0.35">
      <c r="B136" s="100" t="s">
        <v>355</v>
      </c>
      <c r="C136" s="90" t="s">
        <v>356</v>
      </c>
      <c r="D136" s="85">
        <v>0</v>
      </c>
      <c r="E136" s="382"/>
    </row>
    <row r="137" spans="2:5" x14ac:dyDescent="0.35">
      <c r="B137" s="100" t="s">
        <v>357</v>
      </c>
      <c r="C137" s="90" t="s">
        <v>358</v>
      </c>
      <c r="D137" s="85">
        <v>0</v>
      </c>
      <c r="E137" s="382"/>
    </row>
    <row r="138" spans="2:5" x14ac:dyDescent="0.35">
      <c r="B138" s="100" t="s">
        <v>359</v>
      </c>
      <c r="C138" s="90" t="s">
        <v>360</v>
      </c>
      <c r="D138" s="85">
        <v>0</v>
      </c>
      <c r="E138" s="382"/>
    </row>
    <row r="139" spans="2:5" x14ac:dyDescent="0.35">
      <c r="B139" s="101">
        <v>18</v>
      </c>
      <c r="C139" s="88" t="s">
        <v>361</v>
      </c>
      <c r="D139" s="89">
        <f>SUM(D140:D155)</f>
        <v>0</v>
      </c>
      <c r="E139" s="382"/>
    </row>
    <row r="140" spans="2:5" x14ac:dyDescent="0.35">
      <c r="B140" s="100" t="s">
        <v>362</v>
      </c>
      <c r="C140" s="90" t="s">
        <v>363</v>
      </c>
      <c r="D140" s="85">
        <v>0</v>
      </c>
      <c r="E140" s="382"/>
    </row>
    <row r="141" spans="2:5" x14ac:dyDescent="0.35">
      <c r="B141" s="100" t="s">
        <v>364</v>
      </c>
      <c r="C141" s="90" t="s">
        <v>365</v>
      </c>
      <c r="D141" s="85">
        <v>0</v>
      </c>
      <c r="E141" s="382"/>
    </row>
    <row r="142" spans="2:5" x14ac:dyDescent="0.35">
      <c r="B142" s="100" t="s">
        <v>366</v>
      </c>
      <c r="C142" s="90" t="s">
        <v>367</v>
      </c>
      <c r="D142" s="85">
        <v>0</v>
      </c>
      <c r="E142" s="382"/>
    </row>
    <row r="143" spans="2:5" x14ac:dyDescent="0.35">
      <c r="B143" s="100" t="s">
        <v>368</v>
      </c>
      <c r="C143" s="90" t="s">
        <v>369</v>
      </c>
      <c r="D143" s="85">
        <v>0</v>
      </c>
      <c r="E143" s="382"/>
    </row>
    <row r="144" spans="2:5" x14ac:dyDescent="0.35">
      <c r="B144" s="100" t="s">
        <v>370</v>
      </c>
      <c r="C144" s="90" t="s">
        <v>371</v>
      </c>
      <c r="D144" s="85">
        <v>0</v>
      </c>
      <c r="E144" s="382"/>
    </row>
    <row r="145" spans="2:5" x14ac:dyDescent="0.35">
      <c r="B145" s="100" t="s">
        <v>372</v>
      </c>
      <c r="C145" s="90" t="s">
        <v>373</v>
      </c>
      <c r="D145" s="85">
        <v>0</v>
      </c>
      <c r="E145" s="382"/>
    </row>
    <row r="146" spans="2:5" x14ac:dyDescent="0.35">
      <c r="B146" s="100" t="s">
        <v>374</v>
      </c>
      <c r="C146" s="90" t="s">
        <v>375</v>
      </c>
      <c r="D146" s="85">
        <v>0</v>
      </c>
      <c r="E146" s="382"/>
    </row>
    <row r="147" spans="2:5" x14ac:dyDescent="0.35">
      <c r="B147" s="100" t="s">
        <v>376</v>
      </c>
      <c r="C147" s="90" t="s">
        <v>377</v>
      </c>
      <c r="D147" s="85">
        <v>0</v>
      </c>
      <c r="E147" s="382"/>
    </row>
    <row r="148" spans="2:5" x14ac:dyDescent="0.35">
      <c r="B148" s="100" t="s">
        <v>378</v>
      </c>
      <c r="C148" s="90" t="s">
        <v>379</v>
      </c>
      <c r="D148" s="85">
        <v>0</v>
      </c>
      <c r="E148" s="382"/>
    </row>
    <row r="149" spans="2:5" x14ac:dyDescent="0.35">
      <c r="B149" s="100" t="s">
        <v>380</v>
      </c>
      <c r="C149" s="90" t="s">
        <v>381</v>
      </c>
      <c r="D149" s="85">
        <v>0</v>
      </c>
      <c r="E149" s="382"/>
    </row>
    <row r="150" spans="2:5" x14ac:dyDescent="0.35">
      <c r="B150" s="100" t="s">
        <v>382</v>
      </c>
      <c r="C150" s="90" t="s">
        <v>383</v>
      </c>
      <c r="D150" s="85">
        <v>0</v>
      </c>
      <c r="E150" s="382"/>
    </row>
    <row r="151" spans="2:5" x14ac:dyDescent="0.35">
      <c r="B151" s="100" t="s">
        <v>384</v>
      </c>
      <c r="C151" s="90" t="s">
        <v>385</v>
      </c>
      <c r="D151" s="85">
        <v>0</v>
      </c>
      <c r="E151" s="382"/>
    </row>
    <row r="152" spans="2:5" x14ac:dyDescent="0.35">
      <c r="B152" s="100" t="s">
        <v>386</v>
      </c>
      <c r="C152" s="90" t="s">
        <v>387</v>
      </c>
      <c r="D152" s="85">
        <v>0</v>
      </c>
      <c r="E152" s="382"/>
    </row>
    <row r="153" spans="2:5" x14ac:dyDescent="0.35">
      <c r="B153" s="100" t="s">
        <v>388</v>
      </c>
      <c r="C153" s="90" t="s">
        <v>389</v>
      </c>
      <c r="D153" s="85">
        <v>0</v>
      </c>
      <c r="E153" s="382"/>
    </row>
    <row r="154" spans="2:5" x14ac:dyDescent="0.35">
      <c r="B154" s="100" t="s">
        <v>390</v>
      </c>
      <c r="C154" s="90" t="s">
        <v>391</v>
      </c>
      <c r="D154" s="85">
        <v>0</v>
      </c>
      <c r="E154" s="382"/>
    </row>
    <row r="155" spans="2:5" x14ac:dyDescent="0.35">
      <c r="B155" s="100" t="s">
        <v>392</v>
      </c>
      <c r="C155" s="90" t="s">
        <v>393</v>
      </c>
      <c r="D155" s="85">
        <v>0</v>
      </c>
      <c r="E155" s="382"/>
    </row>
    <row r="156" spans="2:5" x14ac:dyDescent="0.35">
      <c r="B156" s="101">
        <v>19</v>
      </c>
      <c r="C156" s="88" t="s">
        <v>394</v>
      </c>
      <c r="D156" s="89">
        <f>SUM(D157:D160)</f>
        <v>0</v>
      </c>
      <c r="E156" s="382"/>
    </row>
    <row r="157" spans="2:5" x14ac:dyDescent="0.35">
      <c r="B157" s="100" t="s">
        <v>395</v>
      </c>
      <c r="C157" s="90" t="s">
        <v>396</v>
      </c>
      <c r="D157" s="85">
        <v>0</v>
      </c>
      <c r="E157" s="382"/>
    </row>
    <row r="158" spans="2:5" x14ac:dyDescent="0.35">
      <c r="B158" s="100" t="s">
        <v>397</v>
      </c>
      <c r="C158" s="90" t="s">
        <v>398</v>
      </c>
      <c r="D158" s="85">
        <v>0</v>
      </c>
      <c r="E158" s="382"/>
    </row>
    <row r="159" spans="2:5" x14ac:dyDescent="0.35">
      <c r="B159" s="100" t="s">
        <v>399</v>
      </c>
      <c r="C159" s="90" t="s">
        <v>400</v>
      </c>
      <c r="D159" s="85">
        <v>0</v>
      </c>
      <c r="E159" s="382"/>
    </row>
    <row r="160" spans="2:5" x14ac:dyDescent="0.35">
      <c r="B160" s="100" t="s">
        <v>401</v>
      </c>
      <c r="C160" s="90" t="s">
        <v>402</v>
      </c>
      <c r="D160" s="85">
        <v>0</v>
      </c>
      <c r="E160" s="382"/>
    </row>
    <row r="161" spans="2:5" x14ac:dyDescent="0.35">
      <c r="B161" s="101">
        <v>20</v>
      </c>
      <c r="C161" s="88" t="s">
        <v>403</v>
      </c>
      <c r="D161" s="89">
        <f>SUM(D162:D165)</f>
        <v>0</v>
      </c>
      <c r="E161" s="382"/>
    </row>
    <row r="162" spans="2:5" x14ac:dyDescent="0.35">
      <c r="B162" s="100" t="s">
        <v>404</v>
      </c>
      <c r="C162" s="90" t="s">
        <v>405</v>
      </c>
      <c r="D162" s="85">
        <v>0</v>
      </c>
      <c r="E162" s="382"/>
    </row>
    <row r="163" spans="2:5" x14ac:dyDescent="0.35">
      <c r="B163" s="100" t="s">
        <v>406</v>
      </c>
      <c r="C163" s="90" t="s">
        <v>407</v>
      </c>
      <c r="D163" s="85">
        <v>0</v>
      </c>
      <c r="E163" s="382"/>
    </row>
    <row r="164" spans="2:5" x14ac:dyDescent="0.35">
      <c r="B164" s="100" t="s">
        <v>408</v>
      </c>
      <c r="C164" s="90" t="s">
        <v>409</v>
      </c>
      <c r="D164" s="85">
        <v>0</v>
      </c>
      <c r="E164" s="382"/>
    </row>
    <row r="165" spans="2:5" ht="16" thickBot="1" x14ac:dyDescent="0.4">
      <c r="B165" s="104" t="s">
        <v>410</v>
      </c>
      <c r="C165" s="105" t="s">
        <v>411</v>
      </c>
      <c r="D165" s="93">
        <v>0</v>
      </c>
      <c r="E165" s="382"/>
    </row>
    <row r="166" spans="2:5" ht="16" thickBot="1" x14ac:dyDescent="0.4">
      <c r="B166" s="106"/>
      <c r="C166" s="95"/>
      <c r="D166" s="96"/>
      <c r="E166" s="382"/>
    </row>
    <row r="167" spans="2:5" ht="16" thickBot="1" x14ac:dyDescent="0.4">
      <c r="B167" s="106"/>
      <c r="C167" s="107" t="s">
        <v>112</v>
      </c>
      <c r="D167" s="108">
        <f>+D161+D156+D139+D122+D120+D117+D113+D110+D105+D97+D86+D73+D44+D28</f>
        <v>0</v>
      </c>
      <c r="E167" s="382"/>
    </row>
    <row r="168" spans="2:5" ht="16" thickBot="1" x14ac:dyDescent="0.4">
      <c r="E168" s="382"/>
    </row>
    <row r="169" spans="2:5" ht="16" thickBot="1" x14ac:dyDescent="0.4">
      <c r="C169" s="109" t="s">
        <v>612</v>
      </c>
      <c r="D169" s="110">
        <f>+D26+D167</f>
        <v>0</v>
      </c>
      <c r="E169" s="382"/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FBC6-C677-4E74-BFCA-5C94CC61804D}">
  <dimension ref="B1:E169"/>
  <sheetViews>
    <sheetView workbookViewId="0">
      <selection activeCell="E1" sqref="E1:E1048576"/>
    </sheetView>
  </sheetViews>
  <sheetFormatPr defaultRowHeight="15.5" x14ac:dyDescent="0.35"/>
  <cols>
    <col min="2" max="2" width="5" style="79" bestFit="1" customWidth="1"/>
    <col min="3" max="3" width="56.6640625" style="79" bestFit="1" customWidth="1"/>
    <col min="4" max="4" width="11.83203125" style="79" bestFit="1" customWidth="1"/>
    <col min="5" max="5" width="11.58203125" bestFit="1" customWidth="1"/>
  </cols>
  <sheetData>
    <row r="1" spans="2:5" ht="16" thickBot="1" x14ac:dyDescent="0.4">
      <c r="B1" s="78" t="s">
        <v>615</v>
      </c>
      <c r="E1" s="381" t="s">
        <v>418</v>
      </c>
    </row>
    <row r="2" spans="2:5" x14ac:dyDescent="0.35">
      <c r="B2" s="80">
        <v>1</v>
      </c>
      <c r="C2" s="81" t="s">
        <v>116</v>
      </c>
      <c r="D2" s="82">
        <f>SUM(D3:D7)</f>
        <v>0</v>
      </c>
      <c r="E2" s="382"/>
    </row>
    <row r="3" spans="2:5" x14ac:dyDescent="0.35">
      <c r="B3" s="83" t="s">
        <v>117</v>
      </c>
      <c r="C3" s="84" t="s">
        <v>118</v>
      </c>
      <c r="D3" s="85">
        <v>0</v>
      </c>
      <c r="E3" s="382"/>
    </row>
    <row r="4" spans="2:5" x14ac:dyDescent="0.35">
      <c r="B4" s="83" t="s">
        <v>119</v>
      </c>
      <c r="C4" s="86" t="s">
        <v>120</v>
      </c>
      <c r="D4" s="85">
        <v>0</v>
      </c>
      <c r="E4" s="382"/>
    </row>
    <row r="5" spans="2:5" x14ac:dyDescent="0.35">
      <c r="B5" s="83" t="s">
        <v>121</v>
      </c>
      <c r="C5" s="84" t="s">
        <v>122</v>
      </c>
      <c r="D5" s="85">
        <v>0</v>
      </c>
      <c r="E5" s="382"/>
    </row>
    <row r="6" spans="2:5" x14ac:dyDescent="0.35">
      <c r="B6" s="83" t="s">
        <v>123</v>
      </c>
      <c r="C6" s="84" t="s">
        <v>15</v>
      </c>
      <c r="D6" s="85">
        <v>0</v>
      </c>
      <c r="E6" s="382"/>
    </row>
    <row r="7" spans="2:5" x14ac:dyDescent="0.35">
      <c r="B7" s="83" t="s">
        <v>124</v>
      </c>
      <c r="C7" s="84" t="s">
        <v>125</v>
      </c>
      <c r="D7" s="85">
        <v>0</v>
      </c>
      <c r="E7" s="382"/>
    </row>
    <row r="8" spans="2:5" x14ac:dyDescent="0.35">
      <c r="B8" s="87">
        <v>2</v>
      </c>
      <c r="C8" s="88" t="s">
        <v>126</v>
      </c>
      <c r="D8" s="89">
        <f>SUM(D9:D12)</f>
        <v>0</v>
      </c>
      <c r="E8" s="382"/>
    </row>
    <row r="9" spans="2:5" x14ac:dyDescent="0.35">
      <c r="B9" s="83" t="s">
        <v>127</v>
      </c>
      <c r="C9" s="84" t="s">
        <v>128</v>
      </c>
      <c r="D9" s="85">
        <v>0</v>
      </c>
      <c r="E9" s="382"/>
    </row>
    <row r="10" spans="2:5" x14ac:dyDescent="0.35">
      <c r="B10" s="83" t="s">
        <v>129</v>
      </c>
      <c r="C10" s="84" t="s">
        <v>130</v>
      </c>
      <c r="D10" s="85">
        <v>0</v>
      </c>
      <c r="E10" s="382"/>
    </row>
    <row r="11" spans="2:5" x14ac:dyDescent="0.35">
      <c r="B11" s="83" t="s">
        <v>131</v>
      </c>
      <c r="C11" s="90" t="s">
        <v>132</v>
      </c>
      <c r="D11" s="85">
        <v>0</v>
      </c>
      <c r="E11" s="382"/>
    </row>
    <row r="12" spans="2:5" x14ac:dyDescent="0.35">
      <c r="B12" s="83" t="s">
        <v>133</v>
      </c>
      <c r="C12" s="90" t="s">
        <v>134</v>
      </c>
      <c r="D12" s="85">
        <v>0</v>
      </c>
      <c r="E12" s="382"/>
    </row>
    <row r="13" spans="2:5" x14ac:dyDescent="0.35">
      <c r="B13" s="87">
        <v>3</v>
      </c>
      <c r="C13" s="88" t="s">
        <v>135</v>
      </c>
      <c r="D13" s="89">
        <f>SUM(D14:D15)</f>
        <v>0</v>
      </c>
      <c r="E13" s="382"/>
    </row>
    <row r="14" spans="2:5" x14ac:dyDescent="0.35">
      <c r="B14" s="83" t="s">
        <v>136</v>
      </c>
      <c r="C14" s="84" t="s">
        <v>137</v>
      </c>
      <c r="D14" s="85">
        <v>0</v>
      </c>
      <c r="E14" s="382"/>
    </row>
    <row r="15" spans="2:5" x14ac:dyDescent="0.35">
      <c r="B15" s="83" t="s">
        <v>138</v>
      </c>
      <c r="C15" s="84" t="s">
        <v>139</v>
      </c>
      <c r="D15" s="85">
        <v>0</v>
      </c>
      <c r="E15" s="382"/>
    </row>
    <row r="16" spans="2:5" x14ac:dyDescent="0.35">
      <c r="B16" s="87">
        <v>4</v>
      </c>
      <c r="C16" s="88" t="s">
        <v>140</v>
      </c>
      <c r="D16" s="89">
        <f>+D17</f>
        <v>0</v>
      </c>
      <c r="E16" s="382"/>
    </row>
    <row r="17" spans="2:5" x14ac:dyDescent="0.35">
      <c r="B17" s="83" t="s">
        <v>141</v>
      </c>
      <c r="C17" s="84" t="s">
        <v>142</v>
      </c>
      <c r="D17" s="85">
        <v>0</v>
      </c>
      <c r="E17" s="382"/>
    </row>
    <row r="18" spans="2:5" x14ac:dyDescent="0.35">
      <c r="B18" s="87">
        <v>5</v>
      </c>
      <c r="C18" s="88" t="s">
        <v>143</v>
      </c>
      <c r="D18" s="89">
        <f>SUM(D19:D21)</f>
        <v>0</v>
      </c>
      <c r="E18" s="382"/>
    </row>
    <row r="19" spans="2:5" x14ac:dyDescent="0.35">
      <c r="B19" s="83" t="s">
        <v>144</v>
      </c>
      <c r="C19" s="84" t="s">
        <v>145</v>
      </c>
      <c r="D19" s="85">
        <v>0</v>
      </c>
      <c r="E19" s="382"/>
    </row>
    <row r="20" spans="2:5" x14ac:dyDescent="0.35">
      <c r="B20" s="83" t="s">
        <v>146</v>
      </c>
      <c r="C20" s="84" t="s">
        <v>147</v>
      </c>
      <c r="D20" s="85">
        <v>0</v>
      </c>
      <c r="E20" s="382"/>
    </row>
    <row r="21" spans="2:5" x14ac:dyDescent="0.35">
      <c r="B21" s="83" t="s">
        <v>148</v>
      </c>
      <c r="C21" s="90" t="s">
        <v>149</v>
      </c>
      <c r="D21" s="85">
        <v>0</v>
      </c>
      <c r="E21" s="382"/>
    </row>
    <row r="22" spans="2:5" x14ac:dyDescent="0.35">
      <c r="B22" s="87">
        <v>6</v>
      </c>
      <c r="C22" s="88" t="s">
        <v>150</v>
      </c>
      <c r="D22" s="89">
        <f>SUM(D23:D24)</f>
        <v>0</v>
      </c>
      <c r="E22" s="382"/>
    </row>
    <row r="23" spans="2:5" x14ac:dyDescent="0.35">
      <c r="B23" s="83" t="s">
        <v>151</v>
      </c>
      <c r="C23" s="84" t="s">
        <v>152</v>
      </c>
      <c r="D23" s="85">
        <v>0</v>
      </c>
      <c r="E23" s="382"/>
    </row>
    <row r="24" spans="2:5" ht="16" thickBot="1" x14ac:dyDescent="0.4">
      <c r="B24" s="91" t="s">
        <v>153</v>
      </c>
      <c r="C24" s="92" t="s">
        <v>154</v>
      </c>
      <c r="D24" s="93">
        <v>0</v>
      </c>
      <c r="E24" s="382"/>
    </row>
    <row r="25" spans="2:5" ht="16" thickBot="1" x14ac:dyDescent="0.4">
      <c r="B25" s="94"/>
      <c r="C25" s="95"/>
      <c r="D25" s="96"/>
      <c r="E25" s="382"/>
    </row>
    <row r="26" spans="2:5" ht="16" thickBot="1" x14ac:dyDescent="0.4">
      <c r="B26" s="94"/>
      <c r="C26" s="97" t="s">
        <v>113</v>
      </c>
      <c r="D26" s="98">
        <f>+D22+D18+D16+D13+D8+D2</f>
        <v>0</v>
      </c>
      <c r="E26" s="382"/>
    </row>
    <row r="27" spans="2:5" ht="16" thickBot="1" x14ac:dyDescent="0.4">
      <c r="E27" s="382"/>
    </row>
    <row r="28" spans="2:5" x14ac:dyDescent="0.35">
      <c r="B28" s="99">
        <v>7</v>
      </c>
      <c r="C28" s="81" t="s">
        <v>155</v>
      </c>
      <c r="D28" s="82">
        <f>SUM(D29:D43)</f>
        <v>0</v>
      </c>
      <c r="E28" s="382"/>
    </row>
    <row r="29" spans="2:5" x14ac:dyDescent="0.35">
      <c r="B29" s="100" t="s">
        <v>156</v>
      </c>
      <c r="C29" s="90" t="s">
        <v>157</v>
      </c>
      <c r="D29" s="85">
        <v>0</v>
      </c>
      <c r="E29" s="382"/>
    </row>
    <row r="30" spans="2:5" x14ac:dyDescent="0.35">
      <c r="B30" s="100" t="s">
        <v>158</v>
      </c>
      <c r="C30" s="90" t="s">
        <v>159</v>
      </c>
      <c r="D30" s="85">
        <v>0</v>
      </c>
      <c r="E30" s="382"/>
    </row>
    <row r="31" spans="2:5" x14ac:dyDescent="0.35">
      <c r="B31" s="100" t="s">
        <v>160</v>
      </c>
      <c r="C31" s="90" t="s">
        <v>161</v>
      </c>
      <c r="D31" s="85">
        <v>0</v>
      </c>
      <c r="E31" s="382"/>
    </row>
    <row r="32" spans="2:5" x14ac:dyDescent="0.35">
      <c r="B32" s="100" t="s">
        <v>162</v>
      </c>
      <c r="C32" s="90" t="s">
        <v>163</v>
      </c>
      <c r="D32" s="85">
        <v>0</v>
      </c>
      <c r="E32" s="382"/>
    </row>
    <row r="33" spans="2:5" x14ac:dyDescent="0.35">
      <c r="B33" s="100" t="s">
        <v>164</v>
      </c>
      <c r="C33" s="90" t="s">
        <v>165</v>
      </c>
      <c r="D33" s="85">
        <v>0</v>
      </c>
      <c r="E33" s="382"/>
    </row>
    <row r="34" spans="2:5" x14ac:dyDescent="0.35">
      <c r="B34" s="100" t="s">
        <v>166</v>
      </c>
      <c r="C34" s="90" t="s">
        <v>167</v>
      </c>
      <c r="D34" s="85">
        <v>0</v>
      </c>
      <c r="E34" s="382"/>
    </row>
    <row r="35" spans="2:5" x14ac:dyDescent="0.35">
      <c r="B35" s="100" t="s">
        <v>168</v>
      </c>
      <c r="C35" s="90" t="s">
        <v>169</v>
      </c>
      <c r="D35" s="85">
        <v>0</v>
      </c>
      <c r="E35" s="382"/>
    </row>
    <row r="36" spans="2:5" x14ac:dyDescent="0.35">
      <c r="B36" s="100" t="s">
        <v>170</v>
      </c>
      <c r="C36" s="90" t="s">
        <v>171</v>
      </c>
      <c r="D36" s="85">
        <v>0</v>
      </c>
      <c r="E36" s="382"/>
    </row>
    <row r="37" spans="2:5" x14ac:dyDescent="0.35">
      <c r="B37" s="100" t="s">
        <v>172</v>
      </c>
      <c r="C37" s="90" t="s">
        <v>173</v>
      </c>
      <c r="D37" s="85">
        <v>0</v>
      </c>
      <c r="E37" s="382"/>
    </row>
    <row r="38" spans="2:5" x14ac:dyDescent="0.35">
      <c r="B38" s="100" t="s">
        <v>174</v>
      </c>
      <c r="C38" s="90" t="s">
        <v>175</v>
      </c>
      <c r="D38" s="85">
        <v>0</v>
      </c>
      <c r="E38" s="382"/>
    </row>
    <row r="39" spans="2:5" x14ac:dyDescent="0.35">
      <c r="B39" s="100" t="s">
        <v>176</v>
      </c>
      <c r="C39" s="90" t="s">
        <v>177</v>
      </c>
      <c r="D39" s="85">
        <v>0</v>
      </c>
      <c r="E39" s="382"/>
    </row>
    <row r="40" spans="2:5" x14ac:dyDescent="0.35">
      <c r="B40" s="100" t="s">
        <v>178</v>
      </c>
      <c r="C40" s="90" t="s">
        <v>179</v>
      </c>
      <c r="D40" s="85">
        <v>0</v>
      </c>
      <c r="E40" s="382"/>
    </row>
    <row r="41" spans="2:5" x14ac:dyDescent="0.35">
      <c r="B41" s="100" t="s">
        <v>180</v>
      </c>
      <c r="C41" s="90" t="s">
        <v>181</v>
      </c>
      <c r="D41" s="85">
        <v>0</v>
      </c>
      <c r="E41" s="382"/>
    </row>
    <row r="42" spans="2:5" x14ac:dyDescent="0.35">
      <c r="B42" s="100" t="s">
        <v>182</v>
      </c>
      <c r="C42" s="90" t="s">
        <v>163</v>
      </c>
      <c r="D42" s="85">
        <v>0</v>
      </c>
      <c r="E42" s="382"/>
    </row>
    <row r="43" spans="2:5" x14ac:dyDescent="0.35">
      <c r="B43" s="100" t="s">
        <v>183</v>
      </c>
      <c r="C43" s="90" t="s">
        <v>184</v>
      </c>
      <c r="D43" s="85">
        <v>0</v>
      </c>
      <c r="E43" s="382"/>
    </row>
    <row r="44" spans="2:5" x14ac:dyDescent="0.35">
      <c r="B44" s="101">
        <v>8</v>
      </c>
      <c r="C44" s="88" t="s">
        <v>185</v>
      </c>
      <c r="D44" s="89">
        <f>SUM(D45:D72)</f>
        <v>0</v>
      </c>
      <c r="E44" s="382"/>
    </row>
    <row r="45" spans="2:5" x14ac:dyDescent="0.35">
      <c r="B45" s="100" t="s">
        <v>186</v>
      </c>
      <c r="C45" s="90" t="s">
        <v>187</v>
      </c>
      <c r="D45" s="85">
        <v>0</v>
      </c>
      <c r="E45" s="382"/>
    </row>
    <row r="46" spans="2:5" x14ac:dyDescent="0.35">
      <c r="B46" s="100" t="s">
        <v>188</v>
      </c>
      <c r="C46" s="90" t="s">
        <v>189</v>
      </c>
      <c r="D46" s="85">
        <v>0</v>
      </c>
      <c r="E46" s="382"/>
    </row>
    <row r="47" spans="2:5" x14ac:dyDescent="0.35">
      <c r="B47" s="100" t="s">
        <v>190</v>
      </c>
      <c r="C47" s="90" t="s">
        <v>191</v>
      </c>
      <c r="D47" s="85">
        <v>0</v>
      </c>
      <c r="E47" s="382"/>
    </row>
    <row r="48" spans="2:5" x14ac:dyDescent="0.35">
      <c r="B48" s="100" t="s">
        <v>192</v>
      </c>
      <c r="C48" s="90" t="s">
        <v>193</v>
      </c>
      <c r="D48" s="85">
        <v>0</v>
      </c>
      <c r="E48" s="382"/>
    </row>
    <row r="49" spans="2:5" x14ac:dyDescent="0.35">
      <c r="B49" s="100" t="s">
        <v>194</v>
      </c>
      <c r="C49" s="90" t="s">
        <v>195</v>
      </c>
      <c r="D49" s="85">
        <v>0</v>
      </c>
      <c r="E49" s="382"/>
    </row>
    <row r="50" spans="2:5" x14ac:dyDescent="0.35">
      <c r="B50" s="100" t="s">
        <v>196</v>
      </c>
      <c r="C50" s="90" t="s">
        <v>197</v>
      </c>
      <c r="D50" s="85">
        <v>0</v>
      </c>
      <c r="E50" s="382"/>
    </row>
    <row r="51" spans="2:5" x14ac:dyDescent="0.35">
      <c r="B51" s="100" t="s">
        <v>198</v>
      </c>
      <c r="C51" s="90" t="s">
        <v>199</v>
      </c>
      <c r="D51" s="85">
        <v>0</v>
      </c>
      <c r="E51" s="382"/>
    </row>
    <row r="52" spans="2:5" x14ac:dyDescent="0.35">
      <c r="B52" s="100" t="s">
        <v>200</v>
      </c>
      <c r="C52" s="90" t="s">
        <v>201</v>
      </c>
      <c r="D52" s="85">
        <v>0</v>
      </c>
      <c r="E52" s="382"/>
    </row>
    <row r="53" spans="2:5" x14ac:dyDescent="0.35">
      <c r="B53" s="100" t="s">
        <v>202</v>
      </c>
      <c r="C53" s="90" t="s">
        <v>203</v>
      </c>
      <c r="D53" s="85">
        <v>0</v>
      </c>
      <c r="E53" s="382"/>
    </row>
    <row r="54" spans="2:5" x14ac:dyDescent="0.35">
      <c r="B54" s="100" t="s">
        <v>204</v>
      </c>
      <c r="C54" s="90" t="s">
        <v>205</v>
      </c>
      <c r="D54" s="85">
        <v>0</v>
      </c>
      <c r="E54" s="382"/>
    </row>
    <row r="55" spans="2:5" x14ac:dyDescent="0.35">
      <c r="B55" s="100" t="s">
        <v>206</v>
      </c>
      <c r="C55" s="90" t="s">
        <v>207</v>
      </c>
      <c r="D55" s="85">
        <v>0</v>
      </c>
      <c r="E55" s="382"/>
    </row>
    <row r="56" spans="2:5" x14ac:dyDescent="0.35">
      <c r="B56" s="100" t="s">
        <v>208</v>
      </c>
      <c r="C56" s="90" t="s">
        <v>209</v>
      </c>
      <c r="D56" s="85">
        <v>0</v>
      </c>
      <c r="E56" s="382"/>
    </row>
    <row r="57" spans="2:5" x14ac:dyDescent="0.35">
      <c r="B57" s="100" t="s">
        <v>210</v>
      </c>
      <c r="C57" s="90" t="s">
        <v>211</v>
      </c>
      <c r="D57" s="85">
        <v>0</v>
      </c>
      <c r="E57" s="382"/>
    </row>
    <row r="58" spans="2:5" x14ac:dyDescent="0.35">
      <c r="B58" s="100" t="s">
        <v>212</v>
      </c>
      <c r="C58" s="90" t="s">
        <v>213</v>
      </c>
      <c r="D58" s="85">
        <v>0</v>
      </c>
      <c r="E58" s="382"/>
    </row>
    <row r="59" spans="2:5" x14ac:dyDescent="0.35">
      <c r="B59" s="100" t="s">
        <v>214</v>
      </c>
      <c r="C59" s="90" t="s">
        <v>215</v>
      </c>
      <c r="D59" s="85">
        <v>0</v>
      </c>
      <c r="E59" s="382"/>
    </row>
    <row r="60" spans="2:5" x14ac:dyDescent="0.35">
      <c r="B60" s="100" t="s">
        <v>216</v>
      </c>
      <c r="C60" s="90" t="s">
        <v>217</v>
      </c>
      <c r="D60" s="85">
        <v>0</v>
      </c>
      <c r="E60" s="382"/>
    </row>
    <row r="61" spans="2:5" x14ac:dyDescent="0.35">
      <c r="B61" s="100" t="s">
        <v>218</v>
      </c>
      <c r="C61" s="90" t="s">
        <v>219</v>
      </c>
      <c r="D61" s="85">
        <v>0</v>
      </c>
      <c r="E61" s="382"/>
    </row>
    <row r="62" spans="2:5" x14ac:dyDescent="0.35">
      <c r="B62" s="100" t="s">
        <v>220</v>
      </c>
      <c r="C62" s="90" t="s">
        <v>221</v>
      </c>
      <c r="D62" s="85">
        <v>0</v>
      </c>
      <c r="E62" s="382"/>
    </row>
    <row r="63" spans="2:5" x14ac:dyDescent="0.35">
      <c r="B63" s="100" t="s">
        <v>222</v>
      </c>
      <c r="C63" s="90" t="s">
        <v>223</v>
      </c>
      <c r="D63" s="85">
        <v>0</v>
      </c>
      <c r="E63" s="382"/>
    </row>
    <row r="64" spans="2:5" x14ac:dyDescent="0.35">
      <c r="B64" s="100" t="s">
        <v>224</v>
      </c>
      <c r="C64" s="90" t="s">
        <v>225</v>
      </c>
      <c r="D64" s="85">
        <v>0</v>
      </c>
      <c r="E64" s="382"/>
    </row>
    <row r="65" spans="2:5" x14ac:dyDescent="0.35">
      <c r="B65" s="100" t="s">
        <v>226</v>
      </c>
      <c r="C65" s="90" t="s">
        <v>227</v>
      </c>
      <c r="D65" s="85">
        <v>0</v>
      </c>
      <c r="E65" s="382"/>
    </row>
    <row r="66" spans="2:5" x14ac:dyDescent="0.35">
      <c r="B66" s="100" t="s">
        <v>228</v>
      </c>
      <c r="C66" s="90" t="s">
        <v>229</v>
      </c>
      <c r="D66" s="85">
        <v>0</v>
      </c>
      <c r="E66" s="382"/>
    </row>
    <row r="67" spans="2:5" x14ac:dyDescent="0.35">
      <c r="B67" s="100" t="s">
        <v>230</v>
      </c>
      <c r="C67" s="90" t="s">
        <v>231</v>
      </c>
      <c r="D67" s="85">
        <v>0</v>
      </c>
      <c r="E67" s="382"/>
    </row>
    <row r="68" spans="2:5" x14ac:dyDescent="0.35">
      <c r="B68" s="100" t="s">
        <v>232</v>
      </c>
      <c r="C68" s="90" t="s">
        <v>233</v>
      </c>
      <c r="D68" s="85">
        <v>0</v>
      </c>
      <c r="E68" s="382"/>
    </row>
    <row r="69" spans="2:5" x14ac:dyDescent="0.35">
      <c r="B69" s="100" t="s">
        <v>234</v>
      </c>
      <c r="C69" s="90" t="s">
        <v>235</v>
      </c>
      <c r="D69" s="85">
        <v>0</v>
      </c>
      <c r="E69" s="382"/>
    </row>
    <row r="70" spans="2:5" x14ac:dyDescent="0.35">
      <c r="B70" s="100" t="s">
        <v>236</v>
      </c>
      <c r="C70" s="90" t="s">
        <v>237</v>
      </c>
      <c r="D70" s="85">
        <v>0</v>
      </c>
      <c r="E70" s="382"/>
    </row>
    <row r="71" spans="2:5" x14ac:dyDescent="0.35">
      <c r="B71" s="100" t="s">
        <v>238</v>
      </c>
      <c r="C71" s="90" t="s">
        <v>239</v>
      </c>
      <c r="D71" s="85">
        <v>0</v>
      </c>
      <c r="E71" s="382"/>
    </row>
    <row r="72" spans="2:5" x14ac:dyDescent="0.35">
      <c r="B72" s="100" t="s">
        <v>240</v>
      </c>
      <c r="C72" s="90" t="s">
        <v>241</v>
      </c>
      <c r="D72" s="85">
        <v>0</v>
      </c>
      <c r="E72" s="382"/>
    </row>
    <row r="73" spans="2:5" x14ac:dyDescent="0.35">
      <c r="B73" s="87">
        <v>9</v>
      </c>
      <c r="C73" s="88" t="s">
        <v>242</v>
      </c>
      <c r="D73" s="89">
        <f>SUM(D74:D85)</f>
        <v>0</v>
      </c>
      <c r="E73" s="382"/>
    </row>
    <row r="74" spans="2:5" x14ac:dyDescent="0.35">
      <c r="B74" s="100" t="s">
        <v>243</v>
      </c>
      <c r="C74" s="90" t="s">
        <v>244</v>
      </c>
      <c r="D74" s="85">
        <v>0</v>
      </c>
      <c r="E74" s="382"/>
    </row>
    <row r="75" spans="2:5" x14ac:dyDescent="0.35">
      <c r="B75" s="100" t="s">
        <v>245</v>
      </c>
      <c r="C75" s="90" t="s">
        <v>246</v>
      </c>
      <c r="D75" s="85">
        <v>0</v>
      </c>
      <c r="E75" s="382"/>
    </row>
    <row r="76" spans="2:5" x14ac:dyDescent="0.35">
      <c r="B76" s="100" t="s">
        <v>247</v>
      </c>
      <c r="C76" s="90" t="s">
        <v>248</v>
      </c>
      <c r="D76" s="85">
        <v>0</v>
      </c>
      <c r="E76" s="382"/>
    </row>
    <row r="77" spans="2:5" x14ac:dyDescent="0.35">
      <c r="B77" s="100" t="s">
        <v>249</v>
      </c>
      <c r="C77" s="90" t="s">
        <v>250</v>
      </c>
      <c r="D77" s="85">
        <v>0</v>
      </c>
      <c r="E77" s="382"/>
    </row>
    <row r="78" spans="2:5" x14ac:dyDescent="0.35">
      <c r="B78" s="100" t="s">
        <v>251</v>
      </c>
      <c r="C78" s="90" t="s">
        <v>252</v>
      </c>
      <c r="D78" s="85">
        <v>0</v>
      </c>
      <c r="E78" s="382"/>
    </row>
    <row r="79" spans="2:5" x14ac:dyDescent="0.35">
      <c r="B79" s="100" t="s">
        <v>253</v>
      </c>
      <c r="C79" s="90" t="s">
        <v>254</v>
      </c>
      <c r="D79" s="85">
        <v>0</v>
      </c>
      <c r="E79" s="382"/>
    </row>
    <row r="80" spans="2:5" x14ac:dyDescent="0.35">
      <c r="B80" s="100" t="s">
        <v>255</v>
      </c>
      <c r="C80" s="90" t="s">
        <v>256</v>
      </c>
      <c r="D80" s="85">
        <v>0</v>
      </c>
      <c r="E80" s="382"/>
    </row>
    <row r="81" spans="2:5" x14ac:dyDescent="0.35">
      <c r="B81" s="100" t="s">
        <v>257</v>
      </c>
      <c r="C81" s="90" t="s">
        <v>258</v>
      </c>
      <c r="D81" s="85">
        <v>0</v>
      </c>
      <c r="E81" s="382"/>
    </row>
    <row r="82" spans="2:5" x14ac:dyDescent="0.35">
      <c r="B82" s="100" t="s">
        <v>259</v>
      </c>
      <c r="C82" s="90" t="s">
        <v>260</v>
      </c>
      <c r="D82" s="85">
        <v>0</v>
      </c>
      <c r="E82" s="382"/>
    </row>
    <row r="83" spans="2:5" x14ac:dyDescent="0.35">
      <c r="B83" s="100" t="s">
        <v>261</v>
      </c>
      <c r="C83" s="90" t="s">
        <v>262</v>
      </c>
      <c r="D83" s="85">
        <v>0</v>
      </c>
      <c r="E83" s="382"/>
    </row>
    <row r="84" spans="2:5" x14ac:dyDescent="0.35">
      <c r="B84" s="100" t="s">
        <v>263</v>
      </c>
      <c r="C84" s="90" t="s">
        <v>264</v>
      </c>
      <c r="D84" s="85">
        <v>0</v>
      </c>
      <c r="E84" s="382"/>
    </row>
    <row r="85" spans="2:5" x14ac:dyDescent="0.35">
      <c r="B85" s="100" t="s">
        <v>265</v>
      </c>
      <c r="C85" s="90" t="s">
        <v>266</v>
      </c>
      <c r="D85" s="85">
        <v>0</v>
      </c>
      <c r="E85" s="382"/>
    </row>
    <row r="86" spans="2:5" x14ac:dyDescent="0.35">
      <c r="B86" s="101">
        <v>10</v>
      </c>
      <c r="C86" s="88" t="s">
        <v>267</v>
      </c>
      <c r="D86" s="89">
        <f>SUM(D87:D96)</f>
        <v>0</v>
      </c>
      <c r="E86" s="382"/>
    </row>
    <row r="87" spans="2:5" x14ac:dyDescent="0.35">
      <c r="B87" s="100" t="s">
        <v>268</v>
      </c>
      <c r="C87" s="90" t="s">
        <v>269</v>
      </c>
      <c r="D87" s="85">
        <v>0</v>
      </c>
      <c r="E87" s="382"/>
    </row>
    <row r="88" spans="2:5" x14ac:dyDescent="0.35">
      <c r="B88" s="100" t="s">
        <v>270</v>
      </c>
      <c r="C88" s="102" t="s">
        <v>271</v>
      </c>
      <c r="D88" s="85">
        <v>0</v>
      </c>
      <c r="E88" s="382"/>
    </row>
    <row r="89" spans="2:5" x14ac:dyDescent="0.35">
      <c r="B89" s="100" t="s">
        <v>272</v>
      </c>
      <c r="C89" s="102" t="s">
        <v>273</v>
      </c>
      <c r="D89" s="85">
        <v>0</v>
      </c>
      <c r="E89" s="382"/>
    </row>
    <row r="90" spans="2:5" x14ac:dyDescent="0.35">
      <c r="B90" s="100" t="s">
        <v>274</v>
      </c>
      <c r="C90" s="84" t="s">
        <v>275</v>
      </c>
      <c r="D90" s="85">
        <v>0</v>
      </c>
      <c r="E90" s="382"/>
    </row>
    <row r="91" spans="2:5" x14ac:dyDescent="0.35">
      <c r="B91" s="100" t="s">
        <v>276</v>
      </c>
      <c r="C91" s="84" t="s">
        <v>277</v>
      </c>
      <c r="D91" s="85">
        <v>0</v>
      </c>
      <c r="E91" s="382"/>
    </row>
    <row r="92" spans="2:5" x14ac:dyDescent="0.35">
      <c r="B92" s="100" t="s">
        <v>278</v>
      </c>
      <c r="C92" s="84" t="s">
        <v>279</v>
      </c>
      <c r="D92" s="85">
        <v>0</v>
      </c>
      <c r="E92" s="382"/>
    </row>
    <row r="93" spans="2:5" x14ac:dyDescent="0.35">
      <c r="B93" s="100" t="s">
        <v>280</v>
      </c>
      <c r="C93" s="84" t="s">
        <v>281</v>
      </c>
      <c r="D93" s="85">
        <v>0</v>
      </c>
      <c r="E93" s="382"/>
    </row>
    <row r="94" spans="2:5" x14ac:dyDescent="0.35">
      <c r="B94" s="100" t="s">
        <v>282</v>
      </c>
      <c r="C94" s="84" t="s">
        <v>283</v>
      </c>
      <c r="D94" s="85">
        <v>0</v>
      </c>
      <c r="E94" s="382"/>
    </row>
    <row r="95" spans="2:5" x14ac:dyDescent="0.35">
      <c r="B95" s="100" t="s">
        <v>284</v>
      </c>
      <c r="C95" s="84" t="s">
        <v>285</v>
      </c>
      <c r="D95" s="85">
        <v>0</v>
      </c>
      <c r="E95" s="382"/>
    </row>
    <row r="96" spans="2:5" x14ac:dyDescent="0.35">
      <c r="B96" s="100" t="s">
        <v>286</v>
      </c>
      <c r="C96" s="84" t="s">
        <v>287</v>
      </c>
      <c r="D96" s="85">
        <v>0</v>
      </c>
      <c r="E96" s="382"/>
    </row>
    <row r="97" spans="2:5" x14ac:dyDescent="0.35">
      <c r="B97" s="101">
        <v>11</v>
      </c>
      <c r="C97" s="88" t="s">
        <v>288</v>
      </c>
      <c r="D97" s="89">
        <f>SUM(D98:D104)</f>
        <v>0</v>
      </c>
      <c r="E97" s="382"/>
    </row>
    <row r="98" spans="2:5" x14ac:dyDescent="0.35">
      <c r="B98" s="100" t="s">
        <v>289</v>
      </c>
      <c r="C98" s="84" t="s">
        <v>290</v>
      </c>
      <c r="D98" s="85">
        <v>0</v>
      </c>
      <c r="E98" s="382"/>
    </row>
    <row r="99" spans="2:5" x14ac:dyDescent="0.35">
      <c r="B99" s="100" t="s">
        <v>291</v>
      </c>
      <c r="C99" s="102" t="s">
        <v>292</v>
      </c>
      <c r="D99" s="85">
        <v>0</v>
      </c>
      <c r="E99" s="382"/>
    </row>
    <row r="100" spans="2:5" x14ac:dyDescent="0.35">
      <c r="B100" s="100" t="s">
        <v>293</v>
      </c>
      <c r="C100" s="84" t="s">
        <v>21</v>
      </c>
      <c r="D100" s="85">
        <v>0</v>
      </c>
      <c r="E100" s="382"/>
    </row>
    <row r="101" spans="2:5" x14ac:dyDescent="0.35">
      <c r="B101" s="100" t="s">
        <v>294</v>
      </c>
      <c r="C101" s="90" t="s">
        <v>295</v>
      </c>
      <c r="D101" s="85">
        <v>0</v>
      </c>
      <c r="E101" s="382"/>
    </row>
    <row r="102" spans="2:5" x14ac:dyDescent="0.35">
      <c r="B102" s="100" t="s">
        <v>296</v>
      </c>
      <c r="C102" s="84" t="s">
        <v>297</v>
      </c>
      <c r="D102" s="85">
        <v>0</v>
      </c>
      <c r="E102" s="382"/>
    </row>
    <row r="103" spans="2:5" x14ac:dyDescent="0.35">
      <c r="B103" s="100" t="s">
        <v>298</v>
      </c>
      <c r="C103" s="90" t="s">
        <v>299</v>
      </c>
      <c r="D103" s="85">
        <v>0</v>
      </c>
      <c r="E103" s="382"/>
    </row>
    <row r="104" spans="2:5" x14ac:dyDescent="0.35">
      <c r="B104" s="100" t="s">
        <v>300</v>
      </c>
      <c r="C104" s="90" t="s">
        <v>301</v>
      </c>
      <c r="D104" s="85">
        <v>0</v>
      </c>
      <c r="E104" s="382"/>
    </row>
    <row r="105" spans="2:5" x14ac:dyDescent="0.35">
      <c r="B105" s="101">
        <v>12</v>
      </c>
      <c r="C105" s="88" t="s">
        <v>302</v>
      </c>
      <c r="D105" s="89">
        <f>SUM(D106:D109)</f>
        <v>0</v>
      </c>
      <c r="E105" s="382"/>
    </row>
    <row r="106" spans="2:5" x14ac:dyDescent="0.35">
      <c r="B106" s="100" t="s">
        <v>303</v>
      </c>
      <c r="C106" s="102" t="s">
        <v>27</v>
      </c>
      <c r="D106" s="85">
        <v>0</v>
      </c>
      <c r="E106" s="382"/>
    </row>
    <row r="107" spans="2:5" x14ac:dyDescent="0.35">
      <c r="B107" s="100" t="s">
        <v>304</v>
      </c>
      <c r="C107" s="102" t="s">
        <v>305</v>
      </c>
      <c r="D107" s="85">
        <v>0</v>
      </c>
      <c r="E107" s="382"/>
    </row>
    <row r="108" spans="2:5" x14ac:dyDescent="0.35">
      <c r="B108" s="100" t="s">
        <v>306</v>
      </c>
      <c r="C108" s="102" t="s">
        <v>307</v>
      </c>
      <c r="D108" s="85">
        <v>0</v>
      </c>
      <c r="E108" s="382"/>
    </row>
    <row r="109" spans="2:5" x14ac:dyDescent="0.35">
      <c r="B109" s="100" t="s">
        <v>308</v>
      </c>
      <c r="C109" s="102" t="s">
        <v>139</v>
      </c>
      <c r="D109" s="85">
        <v>0</v>
      </c>
      <c r="E109" s="382"/>
    </row>
    <row r="110" spans="2:5" x14ac:dyDescent="0.35">
      <c r="B110" s="101">
        <v>13</v>
      </c>
      <c r="C110" s="88" t="s">
        <v>309</v>
      </c>
      <c r="D110" s="89">
        <f>SUM(D111:D112)</f>
        <v>0</v>
      </c>
      <c r="E110" s="382"/>
    </row>
    <row r="111" spans="2:5" x14ac:dyDescent="0.35">
      <c r="B111" s="100" t="s">
        <v>310</v>
      </c>
      <c r="C111" s="90" t="s">
        <v>311</v>
      </c>
      <c r="D111" s="85">
        <v>0</v>
      </c>
      <c r="E111" s="382"/>
    </row>
    <row r="112" spans="2:5" x14ac:dyDescent="0.35">
      <c r="B112" s="100" t="s">
        <v>312</v>
      </c>
      <c r="C112" s="90" t="s">
        <v>313</v>
      </c>
      <c r="D112" s="85">
        <v>0</v>
      </c>
      <c r="E112" s="382"/>
    </row>
    <row r="113" spans="2:5" x14ac:dyDescent="0.35">
      <c r="B113" s="101">
        <v>14</v>
      </c>
      <c r="C113" s="88" t="s">
        <v>314</v>
      </c>
      <c r="D113" s="89">
        <f>SUM(D114:D116)</f>
        <v>0</v>
      </c>
      <c r="E113" s="382"/>
    </row>
    <row r="114" spans="2:5" x14ac:dyDescent="0.35">
      <c r="B114" s="100" t="s">
        <v>315</v>
      </c>
      <c r="C114" s="102" t="s">
        <v>316</v>
      </c>
      <c r="D114" s="85">
        <v>0</v>
      </c>
      <c r="E114" s="382"/>
    </row>
    <row r="115" spans="2:5" x14ac:dyDescent="0.35">
      <c r="B115" s="100" t="s">
        <v>317</v>
      </c>
      <c r="C115" s="102" t="s">
        <v>318</v>
      </c>
      <c r="D115" s="85">
        <v>0</v>
      </c>
      <c r="E115" s="382"/>
    </row>
    <row r="116" spans="2:5" x14ac:dyDescent="0.35">
      <c r="B116" s="100" t="s">
        <v>319</v>
      </c>
      <c r="C116" s="102" t="s">
        <v>20</v>
      </c>
      <c r="D116" s="85">
        <v>0</v>
      </c>
      <c r="E116" s="382"/>
    </row>
    <row r="117" spans="2:5" x14ac:dyDescent="0.35">
      <c r="B117" s="101">
        <v>15</v>
      </c>
      <c r="C117" s="88" t="s">
        <v>320</v>
      </c>
      <c r="D117" s="89">
        <f>SUM(D118:D119)</f>
        <v>0</v>
      </c>
      <c r="E117" s="382"/>
    </row>
    <row r="118" spans="2:5" x14ac:dyDescent="0.35">
      <c r="B118" s="100" t="s">
        <v>321</v>
      </c>
      <c r="C118" s="90" t="s">
        <v>322</v>
      </c>
      <c r="D118" s="85">
        <v>0</v>
      </c>
      <c r="E118" s="382"/>
    </row>
    <row r="119" spans="2:5" x14ac:dyDescent="0.35">
      <c r="B119" s="100" t="s">
        <v>323</v>
      </c>
      <c r="C119" s="84" t="s">
        <v>324</v>
      </c>
      <c r="D119" s="85">
        <v>0</v>
      </c>
      <c r="E119" s="382"/>
    </row>
    <row r="120" spans="2:5" x14ac:dyDescent="0.35">
      <c r="B120" s="101">
        <v>16</v>
      </c>
      <c r="C120" s="88" t="s">
        <v>325</v>
      </c>
      <c r="D120" s="89">
        <f>SUM(D121)</f>
        <v>0</v>
      </c>
      <c r="E120" s="382"/>
    </row>
    <row r="121" spans="2:5" x14ac:dyDescent="0.35">
      <c r="B121" s="103" t="s">
        <v>326</v>
      </c>
      <c r="C121" s="102" t="s">
        <v>327</v>
      </c>
      <c r="D121" s="85">
        <v>0</v>
      </c>
      <c r="E121" s="382"/>
    </row>
    <row r="122" spans="2:5" x14ac:dyDescent="0.35">
      <c r="B122" s="101">
        <v>17</v>
      </c>
      <c r="C122" s="88" t="s">
        <v>328</v>
      </c>
      <c r="D122" s="89">
        <f>SUM(D123:D138)</f>
        <v>0</v>
      </c>
      <c r="E122" s="382"/>
    </row>
    <row r="123" spans="2:5" x14ac:dyDescent="0.35">
      <c r="B123" s="100" t="s">
        <v>329</v>
      </c>
      <c r="C123" s="90" t="s">
        <v>330</v>
      </c>
      <c r="D123" s="85">
        <v>0</v>
      </c>
      <c r="E123" s="382"/>
    </row>
    <row r="124" spans="2:5" x14ac:dyDescent="0.35">
      <c r="B124" s="100" t="s">
        <v>331</v>
      </c>
      <c r="C124" s="90" t="s">
        <v>332</v>
      </c>
      <c r="D124" s="85">
        <v>0</v>
      </c>
      <c r="E124" s="382"/>
    </row>
    <row r="125" spans="2:5" x14ac:dyDescent="0.35">
      <c r="B125" s="100" t="s">
        <v>333</v>
      </c>
      <c r="C125" s="90" t="s">
        <v>334</v>
      </c>
      <c r="D125" s="85">
        <v>0</v>
      </c>
      <c r="E125" s="382"/>
    </row>
    <row r="126" spans="2:5" x14ac:dyDescent="0.35">
      <c r="B126" s="100" t="s">
        <v>335</v>
      </c>
      <c r="C126" s="90" t="s">
        <v>336</v>
      </c>
      <c r="D126" s="85">
        <v>0</v>
      </c>
      <c r="E126" s="382"/>
    </row>
    <row r="127" spans="2:5" x14ac:dyDescent="0.35">
      <c r="B127" s="100" t="s">
        <v>337</v>
      </c>
      <c r="C127" s="90" t="s">
        <v>338</v>
      </c>
      <c r="D127" s="85">
        <v>0</v>
      </c>
      <c r="E127" s="382"/>
    </row>
    <row r="128" spans="2:5" x14ac:dyDescent="0.35">
      <c r="B128" s="100" t="s">
        <v>339</v>
      </c>
      <c r="C128" s="90" t="s">
        <v>340</v>
      </c>
      <c r="D128" s="85">
        <v>0</v>
      </c>
      <c r="E128" s="382"/>
    </row>
    <row r="129" spans="2:5" x14ac:dyDescent="0.35">
      <c r="B129" s="100" t="s">
        <v>341</v>
      </c>
      <c r="C129" s="90" t="s">
        <v>342</v>
      </c>
      <c r="D129" s="85">
        <v>0</v>
      </c>
      <c r="E129" s="382"/>
    </row>
    <row r="130" spans="2:5" x14ac:dyDescent="0.35">
      <c r="B130" s="100" t="s">
        <v>343</v>
      </c>
      <c r="C130" s="90" t="s">
        <v>344</v>
      </c>
      <c r="D130" s="85">
        <v>0</v>
      </c>
      <c r="E130" s="382"/>
    </row>
    <row r="131" spans="2:5" x14ac:dyDescent="0.35">
      <c r="B131" s="100" t="s">
        <v>345</v>
      </c>
      <c r="C131" s="90" t="s">
        <v>346</v>
      </c>
      <c r="D131" s="85">
        <v>0</v>
      </c>
      <c r="E131" s="382"/>
    </row>
    <row r="132" spans="2:5" x14ac:dyDescent="0.35">
      <c r="B132" s="100" t="s">
        <v>347</v>
      </c>
      <c r="C132" s="90" t="s">
        <v>348</v>
      </c>
      <c r="D132" s="85">
        <v>0</v>
      </c>
      <c r="E132" s="382"/>
    </row>
    <row r="133" spans="2:5" x14ac:dyDescent="0.35">
      <c r="B133" s="100" t="s">
        <v>349</v>
      </c>
      <c r="C133" s="90" t="s">
        <v>350</v>
      </c>
      <c r="D133" s="85">
        <v>0</v>
      </c>
      <c r="E133" s="382"/>
    </row>
    <row r="134" spans="2:5" x14ac:dyDescent="0.35">
      <c r="B134" s="100" t="s">
        <v>351</v>
      </c>
      <c r="C134" s="90" t="s">
        <v>352</v>
      </c>
      <c r="D134" s="85">
        <v>0</v>
      </c>
      <c r="E134" s="382"/>
    </row>
    <row r="135" spans="2:5" x14ac:dyDescent="0.35">
      <c r="B135" s="100" t="s">
        <v>353</v>
      </c>
      <c r="C135" s="90" t="s">
        <v>354</v>
      </c>
      <c r="D135" s="85">
        <v>0</v>
      </c>
      <c r="E135" s="382"/>
    </row>
    <row r="136" spans="2:5" x14ac:dyDescent="0.35">
      <c r="B136" s="100" t="s">
        <v>355</v>
      </c>
      <c r="C136" s="90" t="s">
        <v>356</v>
      </c>
      <c r="D136" s="85">
        <v>0</v>
      </c>
      <c r="E136" s="382"/>
    </row>
    <row r="137" spans="2:5" x14ac:dyDescent="0.35">
      <c r="B137" s="100" t="s">
        <v>357</v>
      </c>
      <c r="C137" s="90" t="s">
        <v>358</v>
      </c>
      <c r="D137" s="85">
        <v>0</v>
      </c>
      <c r="E137" s="382"/>
    </row>
    <row r="138" spans="2:5" x14ac:dyDescent="0.35">
      <c r="B138" s="100" t="s">
        <v>359</v>
      </c>
      <c r="C138" s="90" t="s">
        <v>360</v>
      </c>
      <c r="D138" s="85">
        <v>0</v>
      </c>
      <c r="E138" s="382"/>
    </row>
    <row r="139" spans="2:5" x14ac:dyDescent="0.35">
      <c r="B139" s="101">
        <v>18</v>
      </c>
      <c r="C139" s="88" t="s">
        <v>361</v>
      </c>
      <c r="D139" s="89">
        <f>SUM(D140:D155)</f>
        <v>0</v>
      </c>
      <c r="E139" s="382"/>
    </row>
    <row r="140" spans="2:5" x14ac:dyDescent="0.35">
      <c r="B140" s="100" t="s">
        <v>362</v>
      </c>
      <c r="C140" s="90" t="s">
        <v>363</v>
      </c>
      <c r="D140" s="85">
        <v>0</v>
      </c>
      <c r="E140" s="382"/>
    </row>
    <row r="141" spans="2:5" x14ac:dyDescent="0.35">
      <c r="B141" s="100" t="s">
        <v>364</v>
      </c>
      <c r="C141" s="90" t="s">
        <v>365</v>
      </c>
      <c r="D141" s="85">
        <v>0</v>
      </c>
      <c r="E141" s="382"/>
    </row>
    <row r="142" spans="2:5" x14ac:dyDescent="0.35">
      <c r="B142" s="100" t="s">
        <v>366</v>
      </c>
      <c r="C142" s="90" t="s">
        <v>367</v>
      </c>
      <c r="D142" s="85">
        <v>0</v>
      </c>
      <c r="E142" s="382"/>
    </row>
    <row r="143" spans="2:5" x14ac:dyDescent="0.35">
      <c r="B143" s="100" t="s">
        <v>368</v>
      </c>
      <c r="C143" s="90" t="s">
        <v>369</v>
      </c>
      <c r="D143" s="85">
        <v>0</v>
      </c>
      <c r="E143" s="382"/>
    </row>
    <row r="144" spans="2:5" x14ac:dyDescent="0.35">
      <c r="B144" s="100" t="s">
        <v>370</v>
      </c>
      <c r="C144" s="90" t="s">
        <v>371</v>
      </c>
      <c r="D144" s="85">
        <v>0</v>
      </c>
      <c r="E144" s="382"/>
    </row>
    <row r="145" spans="2:5" x14ac:dyDescent="0.35">
      <c r="B145" s="100" t="s">
        <v>372</v>
      </c>
      <c r="C145" s="90" t="s">
        <v>373</v>
      </c>
      <c r="D145" s="85">
        <v>0</v>
      </c>
      <c r="E145" s="382"/>
    </row>
    <row r="146" spans="2:5" x14ac:dyDescent="0.35">
      <c r="B146" s="100" t="s">
        <v>374</v>
      </c>
      <c r="C146" s="90" t="s">
        <v>375</v>
      </c>
      <c r="D146" s="85">
        <v>0</v>
      </c>
      <c r="E146" s="382"/>
    </row>
    <row r="147" spans="2:5" x14ac:dyDescent="0.35">
      <c r="B147" s="100" t="s">
        <v>376</v>
      </c>
      <c r="C147" s="90" t="s">
        <v>377</v>
      </c>
      <c r="D147" s="85">
        <v>0</v>
      </c>
      <c r="E147" s="382"/>
    </row>
    <row r="148" spans="2:5" x14ac:dyDescent="0.35">
      <c r="B148" s="100" t="s">
        <v>378</v>
      </c>
      <c r="C148" s="90" t="s">
        <v>379</v>
      </c>
      <c r="D148" s="85">
        <v>0</v>
      </c>
      <c r="E148" s="382"/>
    </row>
    <row r="149" spans="2:5" x14ac:dyDescent="0.35">
      <c r="B149" s="100" t="s">
        <v>380</v>
      </c>
      <c r="C149" s="90" t="s">
        <v>381</v>
      </c>
      <c r="D149" s="85">
        <v>0</v>
      </c>
      <c r="E149" s="382"/>
    </row>
    <row r="150" spans="2:5" x14ac:dyDescent="0.35">
      <c r="B150" s="100" t="s">
        <v>382</v>
      </c>
      <c r="C150" s="90" t="s">
        <v>383</v>
      </c>
      <c r="D150" s="85">
        <v>0</v>
      </c>
      <c r="E150" s="382"/>
    </row>
    <row r="151" spans="2:5" x14ac:dyDescent="0.35">
      <c r="B151" s="100" t="s">
        <v>384</v>
      </c>
      <c r="C151" s="90" t="s">
        <v>385</v>
      </c>
      <c r="D151" s="85">
        <v>0</v>
      </c>
      <c r="E151" s="382"/>
    </row>
    <row r="152" spans="2:5" x14ac:dyDescent="0.35">
      <c r="B152" s="100" t="s">
        <v>386</v>
      </c>
      <c r="C152" s="90" t="s">
        <v>387</v>
      </c>
      <c r="D152" s="85">
        <v>0</v>
      </c>
      <c r="E152" s="382"/>
    </row>
    <row r="153" spans="2:5" x14ac:dyDescent="0.35">
      <c r="B153" s="100" t="s">
        <v>388</v>
      </c>
      <c r="C153" s="90" t="s">
        <v>389</v>
      </c>
      <c r="D153" s="85">
        <v>0</v>
      </c>
      <c r="E153" s="382"/>
    </row>
    <row r="154" spans="2:5" x14ac:dyDescent="0.35">
      <c r="B154" s="100" t="s">
        <v>390</v>
      </c>
      <c r="C154" s="90" t="s">
        <v>391</v>
      </c>
      <c r="D154" s="85">
        <v>0</v>
      </c>
      <c r="E154" s="382"/>
    </row>
    <row r="155" spans="2:5" x14ac:dyDescent="0.35">
      <c r="B155" s="100" t="s">
        <v>392</v>
      </c>
      <c r="C155" s="90" t="s">
        <v>393</v>
      </c>
      <c r="D155" s="85">
        <v>0</v>
      </c>
      <c r="E155" s="382"/>
    </row>
    <row r="156" spans="2:5" x14ac:dyDescent="0.35">
      <c r="B156" s="101">
        <v>19</v>
      </c>
      <c r="C156" s="88" t="s">
        <v>394</v>
      </c>
      <c r="D156" s="89">
        <f>SUM(D157:D160)</f>
        <v>0</v>
      </c>
      <c r="E156" s="382"/>
    </row>
    <row r="157" spans="2:5" x14ac:dyDescent="0.35">
      <c r="B157" s="100" t="s">
        <v>395</v>
      </c>
      <c r="C157" s="90" t="s">
        <v>396</v>
      </c>
      <c r="D157" s="85">
        <v>0</v>
      </c>
      <c r="E157" s="382"/>
    </row>
    <row r="158" spans="2:5" x14ac:dyDescent="0.35">
      <c r="B158" s="100" t="s">
        <v>397</v>
      </c>
      <c r="C158" s="90" t="s">
        <v>398</v>
      </c>
      <c r="D158" s="85">
        <v>0</v>
      </c>
      <c r="E158" s="382"/>
    </row>
    <row r="159" spans="2:5" x14ac:dyDescent="0.35">
      <c r="B159" s="100" t="s">
        <v>399</v>
      </c>
      <c r="C159" s="90" t="s">
        <v>400</v>
      </c>
      <c r="D159" s="85">
        <v>0</v>
      </c>
      <c r="E159" s="382"/>
    </row>
    <row r="160" spans="2:5" x14ac:dyDescent="0.35">
      <c r="B160" s="100" t="s">
        <v>401</v>
      </c>
      <c r="C160" s="90" t="s">
        <v>402</v>
      </c>
      <c r="D160" s="85">
        <v>0</v>
      </c>
      <c r="E160" s="382"/>
    </row>
    <row r="161" spans="2:5" x14ac:dyDescent="0.35">
      <c r="B161" s="101">
        <v>20</v>
      </c>
      <c r="C161" s="88" t="s">
        <v>403</v>
      </c>
      <c r="D161" s="89">
        <f>SUM(D162:D165)</f>
        <v>0</v>
      </c>
      <c r="E161" s="382"/>
    </row>
    <row r="162" spans="2:5" x14ac:dyDescent="0.35">
      <c r="B162" s="100" t="s">
        <v>404</v>
      </c>
      <c r="C162" s="90" t="s">
        <v>405</v>
      </c>
      <c r="D162" s="85">
        <v>0</v>
      </c>
      <c r="E162" s="382"/>
    </row>
    <row r="163" spans="2:5" x14ac:dyDescent="0.35">
      <c r="B163" s="100" t="s">
        <v>406</v>
      </c>
      <c r="C163" s="90" t="s">
        <v>407</v>
      </c>
      <c r="D163" s="85">
        <v>0</v>
      </c>
      <c r="E163" s="382"/>
    </row>
    <row r="164" spans="2:5" x14ac:dyDescent="0.35">
      <c r="B164" s="100" t="s">
        <v>408</v>
      </c>
      <c r="C164" s="90" t="s">
        <v>409</v>
      </c>
      <c r="D164" s="85">
        <v>0</v>
      </c>
      <c r="E164" s="382"/>
    </row>
    <row r="165" spans="2:5" ht="16" thickBot="1" x14ac:dyDescent="0.4">
      <c r="B165" s="104" t="s">
        <v>410</v>
      </c>
      <c r="C165" s="105" t="s">
        <v>411</v>
      </c>
      <c r="D165" s="93">
        <v>0</v>
      </c>
      <c r="E165" s="382"/>
    </row>
    <row r="166" spans="2:5" ht="16" thickBot="1" x14ac:dyDescent="0.4">
      <c r="B166" s="106"/>
      <c r="C166" s="95"/>
      <c r="D166" s="96"/>
      <c r="E166" s="382"/>
    </row>
    <row r="167" spans="2:5" ht="16" thickBot="1" x14ac:dyDescent="0.4">
      <c r="B167" s="106"/>
      <c r="C167" s="107" t="s">
        <v>112</v>
      </c>
      <c r="D167" s="108">
        <f>+D161+D156+D139+D122+D120+D117+D113+D110+D105+D97+D86+D73+D44+D28</f>
        <v>0</v>
      </c>
      <c r="E167" s="382"/>
    </row>
    <row r="168" spans="2:5" ht="16" thickBot="1" x14ac:dyDescent="0.4">
      <c r="E168" s="382"/>
    </row>
    <row r="169" spans="2:5" ht="16" thickBot="1" x14ac:dyDescent="0.4">
      <c r="C169" s="109" t="s">
        <v>612</v>
      </c>
      <c r="D169" s="110">
        <f>+D26+D167</f>
        <v>0</v>
      </c>
      <c r="E169" s="382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09AE-8992-411C-9121-9EB900AFB3EC}">
  <dimension ref="B1:E169"/>
  <sheetViews>
    <sheetView workbookViewId="0">
      <selection activeCell="E1" sqref="E1:E1048576"/>
    </sheetView>
  </sheetViews>
  <sheetFormatPr defaultRowHeight="15.5" x14ac:dyDescent="0.35"/>
  <cols>
    <col min="2" max="2" width="5" style="79" bestFit="1" customWidth="1"/>
    <col min="3" max="3" width="56.6640625" style="79" bestFit="1" customWidth="1"/>
    <col min="4" max="4" width="11.83203125" style="79" bestFit="1" customWidth="1"/>
    <col min="5" max="5" width="11.58203125" bestFit="1" customWidth="1"/>
  </cols>
  <sheetData>
    <row r="1" spans="2:5" ht="16" thickBot="1" x14ac:dyDescent="0.4">
      <c r="B1" s="78" t="s">
        <v>616</v>
      </c>
      <c r="E1" s="381" t="s">
        <v>418</v>
      </c>
    </row>
    <row r="2" spans="2:5" x14ac:dyDescent="0.35">
      <c r="B2" s="80">
        <v>1</v>
      </c>
      <c r="C2" s="81" t="s">
        <v>116</v>
      </c>
      <c r="D2" s="82">
        <f>SUM(D3:D7)</f>
        <v>0</v>
      </c>
      <c r="E2" s="382"/>
    </row>
    <row r="3" spans="2:5" x14ac:dyDescent="0.35">
      <c r="B3" s="83" t="s">
        <v>117</v>
      </c>
      <c r="C3" s="84" t="s">
        <v>118</v>
      </c>
      <c r="D3" s="85">
        <v>0</v>
      </c>
      <c r="E3" s="382"/>
    </row>
    <row r="4" spans="2:5" x14ac:dyDescent="0.35">
      <c r="B4" s="83" t="s">
        <v>119</v>
      </c>
      <c r="C4" s="86" t="s">
        <v>120</v>
      </c>
      <c r="D4" s="85">
        <v>0</v>
      </c>
      <c r="E4" s="382"/>
    </row>
    <row r="5" spans="2:5" x14ac:dyDescent="0.35">
      <c r="B5" s="83" t="s">
        <v>121</v>
      </c>
      <c r="C5" s="84" t="s">
        <v>122</v>
      </c>
      <c r="D5" s="85">
        <v>0</v>
      </c>
      <c r="E5" s="382"/>
    </row>
    <row r="6" spans="2:5" x14ac:dyDescent="0.35">
      <c r="B6" s="83" t="s">
        <v>123</v>
      </c>
      <c r="C6" s="84" t="s">
        <v>15</v>
      </c>
      <c r="D6" s="85">
        <v>0</v>
      </c>
      <c r="E6" s="382"/>
    </row>
    <row r="7" spans="2:5" x14ac:dyDescent="0.35">
      <c r="B7" s="83" t="s">
        <v>124</v>
      </c>
      <c r="C7" s="84" t="s">
        <v>125</v>
      </c>
      <c r="D7" s="85">
        <v>0</v>
      </c>
      <c r="E7" s="382"/>
    </row>
    <row r="8" spans="2:5" x14ac:dyDescent="0.35">
      <c r="B8" s="87">
        <v>2</v>
      </c>
      <c r="C8" s="88" t="s">
        <v>126</v>
      </c>
      <c r="D8" s="89">
        <f>SUM(D9:D12)</f>
        <v>0</v>
      </c>
      <c r="E8" s="382"/>
    </row>
    <row r="9" spans="2:5" x14ac:dyDescent="0.35">
      <c r="B9" s="83" t="s">
        <v>127</v>
      </c>
      <c r="C9" s="84" t="s">
        <v>128</v>
      </c>
      <c r="D9" s="85">
        <v>0</v>
      </c>
      <c r="E9" s="382"/>
    </row>
    <row r="10" spans="2:5" x14ac:dyDescent="0.35">
      <c r="B10" s="83" t="s">
        <v>129</v>
      </c>
      <c r="C10" s="84" t="s">
        <v>130</v>
      </c>
      <c r="D10" s="85">
        <v>0</v>
      </c>
      <c r="E10" s="382"/>
    </row>
    <row r="11" spans="2:5" x14ac:dyDescent="0.35">
      <c r="B11" s="83" t="s">
        <v>131</v>
      </c>
      <c r="C11" s="90" t="s">
        <v>132</v>
      </c>
      <c r="D11" s="85">
        <v>0</v>
      </c>
      <c r="E11" s="382"/>
    </row>
    <row r="12" spans="2:5" x14ac:dyDescent="0.35">
      <c r="B12" s="83" t="s">
        <v>133</v>
      </c>
      <c r="C12" s="90" t="s">
        <v>134</v>
      </c>
      <c r="D12" s="85">
        <v>0</v>
      </c>
      <c r="E12" s="382"/>
    </row>
    <row r="13" spans="2:5" x14ac:dyDescent="0.35">
      <c r="B13" s="87">
        <v>3</v>
      </c>
      <c r="C13" s="88" t="s">
        <v>135</v>
      </c>
      <c r="D13" s="89">
        <f>SUM(D14:D15)</f>
        <v>0</v>
      </c>
      <c r="E13" s="382"/>
    </row>
    <row r="14" spans="2:5" x14ac:dyDescent="0.35">
      <c r="B14" s="83" t="s">
        <v>136</v>
      </c>
      <c r="C14" s="84" t="s">
        <v>137</v>
      </c>
      <c r="D14" s="85">
        <v>0</v>
      </c>
      <c r="E14" s="382"/>
    </row>
    <row r="15" spans="2:5" x14ac:dyDescent="0.35">
      <c r="B15" s="83" t="s">
        <v>138</v>
      </c>
      <c r="C15" s="84" t="s">
        <v>139</v>
      </c>
      <c r="D15" s="85">
        <v>0</v>
      </c>
      <c r="E15" s="382"/>
    </row>
    <row r="16" spans="2:5" x14ac:dyDescent="0.35">
      <c r="B16" s="87">
        <v>4</v>
      </c>
      <c r="C16" s="88" t="s">
        <v>140</v>
      </c>
      <c r="D16" s="89">
        <f>+D17</f>
        <v>0</v>
      </c>
      <c r="E16" s="382"/>
    </row>
    <row r="17" spans="2:5" x14ac:dyDescent="0.35">
      <c r="B17" s="83" t="s">
        <v>141</v>
      </c>
      <c r="C17" s="84" t="s">
        <v>142</v>
      </c>
      <c r="D17" s="85">
        <v>0</v>
      </c>
      <c r="E17" s="382"/>
    </row>
    <row r="18" spans="2:5" x14ac:dyDescent="0.35">
      <c r="B18" s="87">
        <v>5</v>
      </c>
      <c r="C18" s="88" t="s">
        <v>143</v>
      </c>
      <c r="D18" s="89">
        <f>SUM(D19:D21)</f>
        <v>0</v>
      </c>
      <c r="E18" s="382"/>
    </row>
    <row r="19" spans="2:5" x14ac:dyDescent="0.35">
      <c r="B19" s="83" t="s">
        <v>144</v>
      </c>
      <c r="C19" s="84" t="s">
        <v>145</v>
      </c>
      <c r="D19" s="85">
        <v>0</v>
      </c>
      <c r="E19" s="382"/>
    </row>
    <row r="20" spans="2:5" x14ac:dyDescent="0.35">
      <c r="B20" s="83" t="s">
        <v>146</v>
      </c>
      <c r="C20" s="84" t="s">
        <v>147</v>
      </c>
      <c r="D20" s="85">
        <v>0</v>
      </c>
      <c r="E20" s="382"/>
    </row>
    <row r="21" spans="2:5" x14ac:dyDescent="0.35">
      <c r="B21" s="83" t="s">
        <v>148</v>
      </c>
      <c r="C21" s="90" t="s">
        <v>149</v>
      </c>
      <c r="D21" s="85">
        <v>0</v>
      </c>
      <c r="E21" s="382"/>
    </row>
    <row r="22" spans="2:5" x14ac:dyDescent="0.35">
      <c r="B22" s="87">
        <v>6</v>
      </c>
      <c r="C22" s="88" t="s">
        <v>150</v>
      </c>
      <c r="D22" s="89">
        <f>SUM(D23:D24)</f>
        <v>0</v>
      </c>
      <c r="E22" s="382"/>
    </row>
    <row r="23" spans="2:5" x14ac:dyDescent="0.35">
      <c r="B23" s="83" t="s">
        <v>151</v>
      </c>
      <c r="C23" s="84" t="s">
        <v>152</v>
      </c>
      <c r="D23" s="85">
        <v>0</v>
      </c>
      <c r="E23" s="382"/>
    </row>
    <row r="24" spans="2:5" ht="16" thickBot="1" x14ac:dyDescent="0.4">
      <c r="B24" s="91" t="s">
        <v>153</v>
      </c>
      <c r="C24" s="92" t="s">
        <v>154</v>
      </c>
      <c r="D24" s="93">
        <v>0</v>
      </c>
      <c r="E24" s="382"/>
    </row>
    <row r="25" spans="2:5" ht="16" thickBot="1" x14ac:dyDescent="0.4">
      <c r="B25" s="94"/>
      <c r="C25" s="95"/>
      <c r="D25" s="96"/>
      <c r="E25" s="382"/>
    </row>
    <row r="26" spans="2:5" ht="16" thickBot="1" x14ac:dyDescent="0.4">
      <c r="B26" s="94"/>
      <c r="C26" s="97" t="s">
        <v>113</v>
      </c>
      <c r="D26" s="98">
        <f>+D22+D18+D16+D13+D8+D2</f>
        <v>0</v>
      </c>
      <c r="E26" s="382"/>
    </row>
    <row r="27" spans="2:5" ht="16" thickBot="1" x14ac:dyDescent="0.4">
      <c r="E27" s="382"/>
    </row>
    <row r="28" spans="2:5" x14ac:dyDescent="0.35">
      <c r="B28" s="99">
        <v>7</v>
      </c>
      <c r="C28" s="81" t="s">
        <v>155</v>
      </c>
      <c r="D28" s="82">
        <f>SUM(D29:D43)</f>
        <v>0</v>
      </c>
      <c r="E28" s="382"/>
    </row>
    <row r="29" spans="2:5" x14ac:dyDescent="0.35">
      <c r="B29" s="100" t="s">
        <v>156</v>
      </c>
      <c r="C29" s="90" t="s">
        <v>157</v>
      </c>
      <c r="D29" s="85">
        <v>0</v>
      </c>
      <c r="E29" s="382"/>
    </row>
    <row r="30" spans="2:5" x14ac:dyDescent="0.35">
      <c r="B30" s="100" t="s">
        <v>158</v>
      </c>
      <c r="C30" s="90" t="s">
        <v>159</v>
      </c>
      <c r="D30" s="85">
        <v>0</v>
      </c>
      <c r="E30" s="382"/>
    </row>
    <row r="31" spans="2:5" x14ac:dyDescent="0.35">
      <c r="B31" s="100" t="s">
        <v>160</v>
      </c>
      <c r="C31" s="90" t="s">
        <v>161</v>
      </c>
      <c r="D31" s="85">
        <v>0</v>
      </c>
      <c r="E31" s="382"/>
    </row>
    <row r="32" spans="2:5" x14ac:dyDescent="0.35">
      <c r="B32" s="100" t="s">
        <v>162</v>
      </c>
      <c r="C32" s="90" t="s">
        <v>163</v>
      </c>
      <c r="D32" s="85">
        <v>0</v>
      </c>
      <c r="E32" s="382"/>
    </row>
    <row r="33" spans="2:5" x14ac:dyDescent="0.35">
      <c r="B33" s="100" t="s">
        <v>164</v>
      </c>
      <c r="C33" s="90" t="s">
        <v>165</v>
      </c>
      <c r="D33" s="85">
        <v>0</v>
      </c>
      <c r="E33" s="382"/>
    </row>
    <row r="34" spans="2:5" x14ac:dyDescent="0.35">
      <c r="B34" s="100" t="s">
        <v>166</v>
      </c>
      <c r="C34" s="90" t="s">
        <v>167</v>
      </c>
      <c r="D34" s="85">
        <v>0</v>
      </c>
      <c r="E34" s="382"/>
    </row>
    <row r="35" spans="2:5" x14ac:dyDescent="0.35">
      <c r="B35" s="100" t="s">
        <v>168</v>
      </c>
      <c r="C35" s="90" t="s">
        <v>169</v>
      </c>
      <c r="D35" s="85">
        <v>0</v>
      </c>
      <c r="E35" s="382"/>
    </row>
    <row r="36" spans="2:5" x14ac:dyDescent="0.35">
      <c r="B36" s="100" t="s">
        <v>170</v>
      </c>
      <c r="C36" s="90" t="s">
        <v>171</v>
      </c>
      <c r="D36" s="85">
        <v>0</v>
      </c>
      <c r="E36" s="382"/>
    </row>
    <row r="37" spans="2:5" x14ac:dyDescent="0.35">
      <c r="B37" s="100" t="s">
        <v>172</v>
      </c>
      <c r="C37" s="90" t="s">
        <v>173</v>
      </c>
      <c r="D37" s="85">
        <v>0</v>
      </c>
      <c r="E37" s="382"/>
    </row>
    <row r="38" spans="2:5" x14ac:dyDescent="0.35">
      <c r="B38" s="100" t="s">
        <v>174</v>
      </c>
      <c r="C38" s="90" t="s">
        <v>175</v>
      </c>
      <c r="D38" s="85">
        <v>0</v>
      </c>
      <c r="E38" s="382"/>
    </row>
    <row r="39" spans="2:5" x14ac:dyDescent="0.35">
      <c r="B39" s="100" t="s">
        <v>176</v>
      </c>
      <c r="C39" s="90" t="s">
        <v>177</v>
      </c>
      <c r="D39" s="85">
        <v>0</v>
      </c>
      <c r="E39" s="382"/>
    </row>
    <row r="40" spans="2:5" x14ac:dyDescent="0.35">
      <c r="B40" s="100" t="s">
        <v>178</v>
      </c>
      <c r="C40" s="90" t="s">
        <v>179</v>
      </c>
      <c r="D40" s="85">
        <v>0</v>
      </c>
      <c r="E40" s="382"/>
    </row>
    <row r="41" spans="2:5" x14ac:dyDescent="0.35">
      <c r="B41" s="100" t="s">
        <v>180</v>
      </c>
      <c r="C41" s="90" t="s">
        <v>181</v>
      </c>
      <c r="D41" s="85">
        <v>0</v>
      </c>
      <c r="E41" s="382"/>
    </row>
    <row r="42" spans="2:5" x14ac:dyDescent="0.35">
      <c r="B42" s="100" t="s">
        <v>182</v>
      </c>
      <c r="C42" s="90" t="s">
        <v>163</v>
      </c>
      <c r="D42" s="85">
        <v>0</v>
      </c>
      <c r="E42" s="382"/>
    </row>
    <row r="43" spans="2:5" x14ac:dyDescent="0.35">
      <c r="B43" s="100" t="s">
        <v>183</v>
      </c>
      <c r="C43" s="90" t="s">
        <v>184</v>
      </c>
      <c r="D43" s="85">
        <v>0</v>
      </c>
      <c r="E43" s="382"/>
    </row>
    <row r="44" spans="2:5" x14ac:dyDescent="0.35">
      <c r="B44" s="101">
        <v>8</v>
      </c>
      <c r="C44" s="88" t="s">
        <v>185</v>
      </c>
      <c r="D44" s="89">
        <f>SUM(D45:D72)</f>
        <v>0</v>
      </c>
      <c r="E44" s="382"/>
    </row>
    <row r="45" spans="2:5" x14ac:dyDescent="0.35">
      <c r="B45" s="100" t="s">
        <v>186</v>
      </c>
      <c r="C45" s="90" t="s">
        <v>187</v>
      </c>
      <c r="D45" s="85">
        <v>0</v>
      </c>
      <c r="E45" s="382"/>
    </row>
    <row r="46" spans="2:5" x14ac:dyDescent="0.35">
      <c r="B46" s="100" t="s">
        <v>188</v>
      </c>
      <c r="C46" s="90" t="s">
        <v>189</v>
      </c>
      <c r="D46" s="85">
        <v>0</v>
      </c>
      <c r="E46" s="382"/>
    </row>
    <row r="47" spans="2:5" x14ac:dyDescent="0.35">
      <c r="B47" s="100" t="s">
        <v>190</v>
      </c>
      <c r="C47" s="90" t="s">
        <v>191</v>
      </c>
      <c r="D47" s="85">
        <v>0</v>
      </c>
      <c r="E47" s="382"/>
    </row>
    <row r="48" spans="2:5" x14ac:dyDescent="0.35">
      <c r="B48" s="100" t="s">
        <v>192</v>
      </c>
      <c r="C48" s="90" t="s">
        <v>193</v>
      </c>
      <c r="D48" s="85">
        <v>0</v>
      </c>
      <c r="E48" s="382"/>
    </row>
    <row r="49" spans="2:5" x14ac:dyDescent="0.35">
      <c r="B49" s="100" t="s">
        <v>194</v>
      </c>
      <c r="C49" s="90" t="s">
        <v>195</v>
      </c>
      <c r="D49" s="85">
        <v>0</v>
      </c>
      <c r="E49" s="382"/>
    </row>
    <row r="50" spans="2:5" x14ac:dyDescent="0.35">
      <c r="B50" s="100" t="s">
        <v>196</v>
      </c>
      <c r="C50" s="90" t="s">
        <v>197</v>
      </c>
      <c r="D50" s="85">
        <v>0</v>
      </c>
      <c r="E50" s="382"/>
    </row>
    <row r="51" spans="2:5" x14ac:dyDescent="0.35">
      <c r="B51" s="100" t="s">
        <v>198</v>
      </c>
      <c r="C51" s="90" t="s">
        <v>199</v>
      </c>
      <c r="D51" s="85">
        <v>0</v>
      </c>
      <c r="E51" s="382"/>
    </row>
    <row r="52" spans="2:5" x14ac:dyDescent="0.35">
      <c r="B52" s="100" t="s">
        <v>200</v>
      </c>
      <c r="C52" s="90" t="s">
        <v>201</v>
      </c>
      <c r="D52" s="85">
        <v>0</v>
      </c>
      <c r="E52" s="382"/>
    </row>
    <row r="53" spans="2:5" x14ac:dyDescent="0.35">
      <c r="B53" s="100" t="s">
        <v>202</v>
      </c>
      <c r="C53" s="90" t="s">
        <v>203</v>
      </c>
      <c r="D53" s="85">
        <v>0</v>
      </c>
      <c r="E53" s="382"/>
    </row>
    <row r="54" spans="2:5" x14ac:dyDescent="0.35">
      <c r="B54" s="100" t="s">
        <v>204</v>
      </c>
      <c r="C54" s="90" t="s">
        <v>205</v>
      </c>
      <c r="D54" s="85">
        <v>0</v>
      </c>
      <c r="E54" s="382"/>
    </row>
    <row r="55" spans="2:5" x14ac:dyDescent="0.35">
      <c r="B55" s="100" t="s">
        <v>206</v>
      </c>
      <c r="C55" s="90" t="s">
        <v>207</v>
      </c>
      <c r="D55" s="85">
        <v>0</v>
      </c>
      <c r="E55" s="382"/>
    </row>
    <row r="56" spans="2:5" x14ac:dyDescent="0.35">
      <c r="B56" s="100" t="s">
        <v>208</v>
      </c>
      <c r="C56" s="90" t="s">
        <v>209</v>
      </c>
      <c r="D56" s="85">
        <v>0</v>
      </c>
      <c r="E56" s="382"/>
    </row>
    <row r="57" spans="2:5" x14ac:dyDescent="0.35">
      <c r="B57" s="100" t="s">
        <v>210</v>
      </c>
      <c r="C57" s="90" t="s">
        <v>211</v>
      </c>
      <c r="D57" s="85">
        <v>0</v>
      </c>
      <c r="E57" s="382"/>
    </row>
    <row r="58" spans="2:5" x14ac:dyDescent="0.35">
      <c r="B58" s="100" t="s">
        <v>212</v>
      </c>
      <c r="C58" s="90" t="s">
        <v>213</v>
      </c>
      <c r="D58" s="85">
        <v>0</v>
      </c>
      <c r="E58" s="382"/>
    </row>
    <row r="59" spans="2:5" x14ac:dyDescent="0.35">
      <c r="B59" s="100" t="s">
        <v>214</v>
      </c>
      <c r="C59" s="90" t="s">
        <v>215</v>
      </c>
      <c r="D59" s="85">
        <v>0</v>
      </c>
      <c r="E59" s="382"/>
    </row>
    <row r="60" spans="2:5" x14ac:dyDescent="0.35">
      <c r="B60" s="100" t="s">
        <v>216</v>
      </c>
      <c r="C60" s="90" t="s">
        <v>217</v>
      </c>
      <c r="D60" s="85">
        <v>0</v>
      </c>
      <c r="E60" s="382"/>
    </row>
    <row r="61" spans="2:5" x14ac:dyDescent="0.35">
      <c r="B61" s="100" t="s">
        <v>218</v>
      </c>
      <c r="C61" s="90" t="s">
        <v>219</v>
      </c>
      <c r="D61" s="85">
        <v>0</v>
      </c>
      <c r="E61" s="382"/>
    </row>
    <row r="62" spans="2:5" x14ac:dyDescent="0.35">
      <c r="B62" s="100" t="s">
        <v>220</v>
      </c>
      <c r="C62" s="90" t="s">
        <v>221</v>
      </c>
      <c r="D62" s="85">
        <v>0</v>
      </c>
      <c r="E62" s="382"/>
    </row>
    <row r="63" spans="2:5" x14ac:dyDescent="0.35">
      <c r="B63" s="100" t="s">
        <v>222</v>
      </c>
      <c r="C63" s="90" t="s">
        <v>223</v>
      </c>
      <c r="D63" s="85">
        <v>0</v>
      </c>
      <c r="E63" s="382"/>
    </row>
    <row r="64" spans="2:5" x14ac:dyDescent="0.35">
      <c r="B64" s="100" t="s">
        <v>224</v>
      </c>
      <c r="C64" s="90" t="s">
        <v>225</v>
      </c>
      <c r="D64" s="85">
        <v>0</v>
      </c>
      <c r="E64" s="382"/>
    </row>
    <row r="65" spans="2:5" x14ac:dyDescent="0.35">
      <c r="B65" s="100" t="s">
        <v>226</v>
      </c>
      <c r="C65" s="90" t="s">
        <v>227</v>
      </c>
      <c r="D65" s="85">
        <v>0</v>
      </c>
      <c r="E65" s="382"/>
    </row>
    <row r="66" spans="2:5" x14ac:dyDescent="0.35">
      <c r="B66" s="100" t="s">
        <v>228</v>
      </c>
      <c r="C66" s="90" t="s">
        <v>229</v>
      </c>
      <c r="D66" s="85">
        <v>0</v>
      </c>
      <c r="E66" s="382"/>
    </row>
    <row r="67" spans="2:5" x14ac:dyDescent="0.35">
      <c r="B67" s="100" t="s">
        <v>230</v>
      </c>
      <c r="C67" s="90" t="s">
        <v>231</v>
      </c>
      <c r="D67" s="85">
        <v>0</v>
      </c>
      <c r="E67" s="382"/>
    </row>
    <row r="68" spans="2:5" x14ac:dyDescent="0.35">
      <c r="B68" s="100" t="s">
        <v>232</v>
      </c>
      <c r="C68" s="90" t="s">
        <v>233</v>
      </c>
      <c r="D68" s="85">
        <v>0</v>
      </c>
      <c r="E68" s="382"/>
    </row>
    <row r="69" spans="2:5" x14ac:dyDescent="0.35">
      <c r="B69" s="100" t="s">
        <v>234</v>
      </c>
      <c r="C69" s="90" t="s">
        <v>235</v>
      </c>
      <c r="D69" s="85">
        <v>0</v>
      </c>
      <c r="E69" s="382"/>
    </row>
    <row r="70" spans="2:5" x14ac:dyDescent="0.35">
      <c r="B70" s="100" t="s">
        <v>236</v>
      </c>
      <c r="C70" s="90" t="s">
        <v>237</v>
      </c>
      <c r="D70" s="85">
        <v>0</v>
      </c>
      <c r="E70" s="382"/>
    </row>
    <row r="71" spans="2:5" x14ac:dyDescent="0.35">
      <c r="B71" s="100" t="s">
        <v>238</v>
      </c>
      <c r="C71" s="90" t="s">
        <v>239</v>
      </c>
      <c r="D71" s="85">
        <v>0</v>
      </c>
      <c r="E71" s="382"/>
    </row>
    <row r="72" spans="2:5" x14ac:dyDescent="0.35">
      <c r="B72" s="100" t="s">
        <v>240</v>
      </c>
      <c r="C72" s="90" t="s">
        <v>241</v>
      </c>
      <c r="D72" s="85">
        <v>0</v>
      </c>
      <c r="E72" s="382"/>
    </row>
    <row r="73" spans="2:5" x14ac:dyDescent="0.35">
      <c r="B73" s="87">
        <v>9</v>
      </c>
      <c r="C73" s="88" t="s">
        <v>242</v>
      </c>
      <c r="D73" s="89">
        <f>SUM(D74:D85)</f>
        <v>0</v>
      </c>
      <c r="E73" s="382"/>
    </row>
    <row r="74" spans="2:5" x14ac:dyDescent="0.35">
      <c r="B74" s="100" t="s">
        <v>243</v>
      </c>
      <c r="C74" s="90" t="s">
        <v>244</v>
      </c>
      <c r="D74" s="85">
        <v>0</v>
      </c>
      <c r="E74" s="382"/>
    </row>
    <row r="75" spans="2:5" x14ac:dyDescent="0.35">
      <c r="B75" s="100" t="s">
        <v>245</v>
      </c>
      <c r="C75" s="90" t="s">
        <v>246</v>
      </c>
      <c r="D75" s="85">
        <v>0</v>
      </c>
      <c r="E75" s="382"/>
    </row>
    <row r="76" spans="2:5" x14ac:dyDescent="0.35">
      <c r="B76" s="100" t="s">
        <v>247</v>
      </c>
      <c r="C76" s="90" t="s">
        <v>248</v>
      </c>
      <c r="D76" s="85">
        <v>0</v>
      </c>
      <c r="E76" s="382"/>
    </row>
    <row r="77" spans="2:5" x14ac:dyDescent="0.35">
      <c r="B77" s="100" t="s">
        <v>249</v>
      </c>
      <c r="C77" s="90" t="s">
        <v>250</v>
      </c>
      <c r="D77" s="85">
        <v>0</v>
      </c>
      <c r="E77" s="382"/>
    </row>
    <row r="78" spans="2:5" x14ac:dyDescent="0.35">
      <c r="B78" s="100" t="s">
        <v>251</v>
      </c>
      <c r="C78" s="90" t="s">
        <v>252</v>
      </c>
      <c r="D78" s="85">
        <v>0</v>
      </c>
      <c r="E78" s="382"/>
    </row>
    <row r="79" spans="2:5" x14ac:dyDescent="0.35">
      <c r="B79" s="100" t="s">
        <v>253</v>
      </c>
      <c r="C79" s="90" t="s">
        <v>254</v>
      </c>
      <c r="D79" s="85">
        <v>0</v>
      </c>
      <c r="E79" s="382"/>
    </row>
    <row r="80" spans="2:5" x14ac:dyDescent="0.35">
      <c r="B80" s="100" t="s">
        <v>255</v>
      </c>
      <c r="C80" s="90" t="s">
        <v>256</v>
      </c>
      <c r="D80" s="85">
        <v>0</v>
      </c>
      <c r="E80" s="382"/>
    </row>
    <row r="81" spans="2:5" x14ac:dyDescent="0.35">
      <c r="B81" s="100" t="s">
        <v>257</v>
      </c>
      <c r="C81" s="90" t="s">
        <v>258</v>
      </c>
      <c r="D81" s="85">
        <v>0</v>
      </c>
      <c r="E81" s="382"/>
    </row>
    <row r="82" spans="2:5" x14ac:dyDescent="0.35">
      <c r="B82" s="100" t="s">
        <v>259</v>
      </c>
      <c r="C82" s="90" t="s">
        <v>260</v>
      </c>
      <c r="D82" s="85">
        <v>0</v>
      </c>
      <c r="E82" s="382"/>
    </row>
    <row r="83" spans="2:5" x14ac:dyDescent="0.35">
      <c r="B83" s="100" t="s">
        <v>261</v>
      </c>
      <c r="C83" s="90" t="s">
        <v>262</v>
      </c>
      <c r="D83" s="85">
        <v>0</v>
      </c>
      <c r="E83" s="382"/>
    </row>
    <row r="84" spans="2:5" x14ac:dyDescent="0.35">
      <c r="B84" s="100" t="s">
        <v>263</v>
      </c>
      <c r="C84" s="90" t="s">
        <v>264</v>
      </c>
      <c r="D84" s="85">
        <v>0</v>
      </c>
      <c r="E84" s="382"/>
    </row>
    <row r="85" spans="2:5" x14ac:dyDescent="0.35">
      <c r="B85" s="100" t="s">
        <v>265</v>
      </c>
      <c r="C85" s="90" t="s">
        <v>266</v>
      </c>
      <c r="D85" s="85">
        <v>0</v>
      </c>
      <c r="E85" s="382"/>
    </row>
    <row r="86" spans="2:5" x14ac:dyDescent="0.35">
      <c r="B86" s="101">
        <v>10</v>
      </c>
      <c r="C86" s="88" t="s">
        <v>267</v>
      </c>
      <c r="D86" s="89">
        <f>SUM(D87:D96)</f>
        <v>0</v>
      </c>
      <c r="E86" s="382"/>
    </row>
    <row r="87" spans="2:5" x14ac:dyDescent="0.35">
      <c r="B87" s="100" t="s">
        <v>268</v>
      </c>
      <c r="C87" s="90" t="s">
        <v>269</v>
      </c>
      <c r="D87" s="85">
        <v>0</v>
      </c>
      <c r="E87" s="382"/>
    </row>
    <row r="88" spans="2:5" x14ac:dyDescent="0.35">
      <c r="B88" s="100" t="s">
        <v>270</v>
      </c>
      <c r="C88" s="102" t="s">
        <v>271</v>
      </c>
      <c r="D88" s="85">
        <v>0</v>
      </c>
      <c r="E88" s="382"/>
    </row>
    <row r="89" spans="2:5" x14ac:dyDescent="0.35">
      <c r="B89" s="100" t="s">
        <v>272</v>
      </c>
      <c r="C89" s="102" t="s">
        <v>273</v>
      </c>
      <c r="D89" s="85">
        <v>0</v>
      </c>
      <c r="E89" s="382"/>
    </row>
    <row r="90" spans="2:5" x14ac:dyDescent="0.35">
      <c r="B90" s="100" t="s">
        <v>274</v>
      </c>
      <c r="C90" s="84" t="s">
        <v>275</v>
      </c>
      <c r="D90" s="85">
        <v>0</v>
      </c>
      <c r="E90" s="382"/>
    </row>
    <row r="91" spans="2:5" x14ac:dyDescent="0.35">
      <c r="B91" s="100" t="s">
        <v>276</v>
      </c>
      <c r="C91" s="84" t="s">
        <v>277</v>
      </c>
      <c r="D91" s="85">
        <v>0</v>
      </c>
      <c r="E91" s="382"/>
    </row>
    <row r="92" spans="2:5" x14ac:dyDescent="0.35">
      <c r="B92" s="100" t="s">
        <v>278</v>
      </c>
      <c r="C92" s="84" t="s">
        <v>279</v>
      </c>
      <c r="D92" s="85">
        <v>0</v>
      </c>
      <c r="E92" s="382"/>
    </row>
    <row r="93" spans="2:5" x14ac:dyDescent="0.35">
      <c r="B93" s="100" t="s">
        <v>280</v>
      </c>
      <c r="C93" s="84" t="s">
        <v>281</v>
      </c>
      <c r="D93" s="85">
        <v>0</v>
      </c>
      <c r="E93" s="382"/>
    </row>
    <row r="94" spans="2:5" x14ac:dyDescent="0.35">
      <c r="B94" s="100" t="s">
        <v>282</v>
      </c>
      <c r="C94" s="84" t="s">
        <v>283</v>
      </c>
      <c r="D94" s="85">
        <v>0</v>
      </c>
      <c r="E94" s="382"/>
    </row>
    <row r="95" spans="2:5" x14ac:dyDescent="0.35">
      <c r="B95" s="100" t="s">
        <v>284</v>
      </c>
      <c r="C95" s="84" t="s">
        <v>285</v>
      </c>
      <c r="D95" s="85">
        <v>0</v>
      </c>
      <c r="E95" s="382"/>
    </row>
    <row r="96" spans="2:5" x14ac:dyDescent="0.35">
      <c r="B96" s="100" t="s">
        <v>286</v>
      </c>
      <c r="C96" s="84" t="s">
        <v>287</v>
      </c>
      <c r="D96" s="85">
        <v>0</v>
      </c>
      <c r="E96" s="382"/>
    </row>
    <row r="97" spans="2:5" x14ac:dyDescent="0.35">
      <c r="B97" s="101">
        <v>11</v>
      </c>
      <c r="C97" s="88" t="s">
        <v>288</v>
      </c>
      <c r="D97" s="89">
        <f>SUM(D98:D104)</f>
        <v>0</v>
      </c>
      <c r="E97" s="382"/>
    </row>
    <row r="98" spans="2:5" x14ac:dyDescent="0.35">
      <c r="B98" s="100" t="s">
        <v>289</v>
      </c>
      <c r="C98" s="84" t="s">
        <v>290</v>
      </c>
      <c r="D98" s="85">
        <v>0</v>
      </c>
      <c r="E98" s="382"/>
    </row>
    <row r="99" spans="2:5" x14ac:dyDescent="0.35">
      <c r="B99" s="100" t="s">
        <v>291</v>
      </c>
      <c r="C99" s="102" t="s">
        <v>292</v>
      </c>
      <c r="D99" s="85">
        <v>0</v>
      </c>
      <c r="E99" s="382"/>
    </row>
    <row r="100" spans="2:5" x14ac:dyDescent="0.35">
      <c r="B100" s="100" t="s">
        <v>293</v>
      </c>
      <c r="C100" s="84" t="s">
        <v>21</v>
      </c>
      <c r="D100" s="85">
        <v>0</v>
      </c>
      <c r="E100" s="382"/>
    </row>
    <row r="101" spans="2:5" x14ac:dyDescent="0.35">
      <c r="B101" s="100" t="s">
        <v>294</v>
      </c>
      <c r="C101" s="90" t="s">
        <v>295</v>
      </c>
      <c r="D101" s="85">
        <v>0</v>
      </c>
      <c r="E101" s="382"/>
    </row>
    <row r="102" spans="2:5" x14ac:dyDescent="0.35">
      <c r="B102" s="100" t="s">
        <v>296</v>
      </c>
      <c r="C102" s="84" t="s">
        <v>297</v>
      </c>
      <c r="D102" s="85">
        <v>0</v>
      </c>
      <c r="E102" s="382"/>
    </row>
    <row r="103" spans="2:5" x14ac:dyDescent="0.35">
      <c r="B103" s="100" t="s">
        <v>298</v>
      </c>
      <c r="C103" s="90" t="s">
        <v>299</v>
      </c>
      <c r="D103" s="85">
        <v>0</v>
      </c>
      <c r="E103" s="382"/>
    </row>
    <row r="104" spans="2:5" x14ac:dyDescent="0.35">
      <c r="B104" s="100" t="s">
        <v>300</v>
      </c>
      <c r="C104" s="90" t="s">
        <v>301</v>
      </c>
      <c r="D104" s="85">
        <v>0</v>
      </c>
      <c r="E104" s="382"/>
    </row>
    <row r="105" spans="2:5" x14ac:dyDescent="0.35">
      <c r="B105" s="101">
        <v>12</v>
      </c>
      <c r="C105" s="88" t="s">
        <v>302</v>
      </c>
      <c r="D105" s="89">
        <f>SUM(D106:D109)</f>
        <v>0</v>
      </c>
      <c r="E105" s="382"/>
    </row>
    <row r="106" spans="2:5" x14ac:dyDescent="0.35">
      <c r="B106" s="100" t="s">
        <v>303</v>
      </c>
      <c r="C106" s="102" t="s">
        <v>27</v>
      </c>
      <c r="D106" s="85">
        <v>0</v>
      </c>
      <c r="E106" s="382"/>
    </row>
    <row r="107" spans="2:5" x14ac:dyDescent="0.35">
      <c r="B107" s="100" t="s">
        <v>304</v>
      </c>
      <c r="C107" s="102" t="s">
        <v>305</v>
      </c>
      <c r="D107" s="85">
        <v>0</v>
      </c>
      <c r="E107" s="382"/>
    </row>
    <row r="108" spans="2:5" x14ac:dyDescent="0.35">
      <c r="B108" s="100" t="s">
        <v>306</v>
      </c>
      <c r="C108" s="102" t="s">
        <v>307</v>
      </c>
      <c r="D108" s="85">
        <v>0</v>
      </c>
      <c r="E108" s="382"/>
    </row>
    <row r="109" spans="2:5" x14ac:dyDescent="0.35">
      <c r="B109" s="100" t="s">
        <v>308</v>
      </c>
      <c r="C109" s="102" t="s">
        <v>139</v>
      </c>
      <c r="D109" s="85">
        <v>0</v>
      </c>
      <c r="E109" s="382"/>
    </row>
    <row r="110" spans="2:5" x14ac:dyDescent="0.35">
      <c r="B110" s="101">
        <v>13</v>
      </c>
      <c r="C110" s="88" t="s">
        <v>309</v>
      </c>
      <c r="D110" s="89">
        <f>SUM(D111:D112)</f>
        <v>0</v>
      </c>
      <c r="E110" s="382"/>
    </row>
    <row r="111" spans="2:5" x14ac:dyDescent="0.35">
      <c r="B111" s="100" t="s">
        <v>310</v>
      </c>
      <c r="C111" s="90" t="s">
        <v>311</v>
      </c>
      <c r="D111" s="85">
        <v>0</v>
      </c>
      <c r="E111" s="382"/>
    </row>
    <row r="112" spans="2:5" x14ac:dyDescent="0.35">
      <c r="B112" s="100" t="s">
        <v>312</v>
      </c>
      <c r="C112" s="90" t="s">
        <v>313</v>
      </c>
      <c r="D112" s="85">
        <v>0</v>
      </c>
      <c r="E112" s="382"/>
    </row>
    <row r="113" spans="2:5" x14ac:dyDescent="0.35">
      <c r="B113" s="101">
        <v>14</v>
      </c>
      <c r="C113" s="88" t="s">
        <v>314</v>
      </c>
      <c r="D113" s="89">
        <f>SUM(D114:D116)</f>
        <v>0</v>
      </c>
      <c r="E113" s="382"/>
    </row>
    <row r="114" spans="2:5" x14ac:dyDescent="0.35">
      <c r="B114" s="100" t="s">
        <v>315</v>
      </c>
      <c r="C114" s="102" t="s">
        <v>316</v>
      </c>
      <c r="D114" s="85">
        <v>0</v>
      </c>
      <c r="E114" s="382"/>
    </row>
    <row r="115" spans="2:5" x14ac:dyDescent="0.35">
      <c r="B115" s="100" t="s">
        <v>317</v>
      </c>
      <c r="C115" s="102" t="s">
        <v>318</v>
      </c>
      <c r="D115" s="85">
        <v>0</v>
      </c>
      <c r="E115" s="382"/>
    </row>
    <row r="116" spans="2:5" x14ac:dyDescent="0.35">
      <c r="B116" s="100" t="s">
        <v>319</v>
      </c>
      <c r="C116" s="102" t="s">
        <v>20</v>
      </c>
      <c r="D116" s="85">
        <v>0</v>
      </c>
      <c r="E116" s="382"/>
    </row>
    <row r="117" spans="2:5" x14ac:dyDescent="0.35">
      <c r="B117" s="101">
        <v>15</v>
      </c>
      <c r="C117" s="88" t="s">
        <v>320</v>
      </c>
      <c r="D117" s="89">
        <f>SUM(D118:D119)</f>
        <v>0</v>
      </c>
      <c r="E117" s="382"/>
    </row>
    <row r="118" spans="2:5" x14ac:dyDescent="0.35">
      <c r="B118" s="100" t="s">
        <v>321</v>
      </c>
      <c r="C118" s="90" t="s">
        <v>322</v>
      </c>
      <c r="D118" s="85">
        <v>0</v>
      </c>
      <c r="E118" s="382"/>
    </row>
    <row r="119" spans="2:5" x14ac:dyDescent="0.35">
      <c r="B119" s="100" t="s">
        <v>323</v>
      </c>
      <c r="C119" s="84" t="s">
        <v>324</v>
      </c>
      <c r="D119" s="85">
        <v>0</v>
      </c>
      <c r="E119" s="382"/>
    </row>
    <row r="120" spans="2:5" x14ac:dyDescent="0.35">
      <c r="B120" s="101">
        <v>16</v>
      </c>
      <c r="C120" s="88" t="s">
        <v>325</v>
      </c>
      <c r="D120" s="89">
        <f>SUM(D121)</f>
        <v>0</v>
      </c>
      <c r="E120" s="382"/>
    </row>
    <row r="121" spans="2:5" x14ac:dyDescent="0.35">
      <c r="B121" s="103" t="s">
        <v>326</v>
      </c>
      <c r="C121" s="102" t="s">
        <v>327</v>
      </c>
      <c r="D121" s="85">
        <v>0</v>
      </c>
      <c r="E121" s="382"/>
    </row>
    <row r="122" spans="2:5" x14ac:dyDescent="0.35">
      <c r="B122" s="101">
        <v>17</v>
      </c>
      <c r="C122" s="88" t="s">
        <v>328</v>
      </c>
      <c r="D122" s="89">
        <f>SUM(D123:D138)</f>
        <v>0</v>
      </c>
      <c r="E122" s="382"/>
    </row>
    <row r="123" spans="2:5" x14ac:dyDescent="0.35">
      <c r="B123" s="100" t="s">
        <v>329</v>
      </c>
      <c r="C123" s="90" t="s">
        <v>330</v>
      </c>
      <c r="D123" s="85">
        <v>0</v>
      </c>
      <c r="E123" s="382"/>
    </row>
    <row r="124" spans="2:5" x14ac:dyDescent="0.35">
      <c r="B124" s="100" t="s">
        <v>331</v>
      </c>
      <c r="C124" s="90" t="s">
        <v>332</v>
      </c>
      <c r="D124" s="85">
        <v>0</v>
      </c>
      <c r="E124" s="382"/>
    </row>
    <row r="125" spans="2:5" x14ac:dyDescent="0.35">
      <c r="B125" s="100" t="s">
        <v>333</v>
      </c>
      <c r="C125" s="90" t="s">
        <v>334</v>
      </c>
      <c r="D125" s="85">
        <v>0</v>
      </c>
      <c r="E125" s="382"/>
    </row>
    <row r="126" spans="2:5" x14ac:dyDescent="0.35">
      <c r="B126" s="100" t="s">
        <v>335</v>
      </c>
      <c r="C126" s="90" t="s">
        <v>336</v>
      </c>
      <c r="D126" s="85">
        <v>0</v>
      </c>
      <c r="E126" s="382"/>
    </row>
    <row r="127" spans="2:5" x14ac:dyDescent="0.35">
      <c r="B127" s="100" t="s">
        <v>337</v>
      </c>
      <c r="C127" s="90" t="s">
        <v>338</v>
      </c>
      <c r="D127" s="85">
        <v>0</v>
      </c>
      <c r="E127" s="382"/>
    </row>
    <row r="128" spans="2:5" x14ac:dyDescent="0.35">
      <c r="B128" s="100" t="s">
        <v>339</v>
      </c>
      <c r="C128" s="90" t="s">
        <v>340</v>
      </c>
      <c r="D128" s="85">
        <v>0</v>
      </c>
      <c r="E128" s="382"/>
    </row>
    <row r="129" spans="2:5" x14ac:dyDescent="0.35">
      <c r="B129" s="100" t="s">
        <v>341</v>
      </c>
      <c r="C129" s="90" t="s">
        <v>342</v>
      </c>
      <c r="D129" s="85">
        <v>0</v>
      </c>
      <c r="E129" s="382"/>
    </row>
    <row r="130" spans="2:5" x14ac:dyDescent="0.35">
      <c r="B130" s="100" t="s">
        <v>343</v>
      </c>
      <c r="C130" s="90" t="s">
        <v>344</v>
      </c>
      <c r="D130" s="85">
        <v>0</v>
      </c>
      <c r="E130" s="382"/>
    </row>
    <row r="131" spans="2:5" x14ac:dyDescent="0.35">
      <c r="B131" s="100" t="s">
        <v>345</v>
      </c>
      <c r="C131" s="90" t="s">
        <v>346</v>
      </c>
      <c r="D131" s="85">
        <v>0</v>
      </c>
      <c r="E131" s="382"/>
    </row>
    <row r="132" spans="2:5" x14ac:dyDescent="0.35">
      <c r="B132" s="100" t="s">
        <v>347</v>
      </c>
      <c r="C132" s="90" t="s">
        <v>348</v>
      </c>
      <c r="D132" s="85">
        <v>0</v>
      </c>
      <c r="E132" s="382"/>
    </row>
    <row r="133" spans="2:5" x14ac:dyDescent="0.35">
      <c r="B133" s="100" t="s">
        <v>349</v>
      </c>
      <c r="C133" s="90" t="s">
        <v>350</v>
      </c>
      <c r="D133" s="85">
        <v>0</v>
      </c>
      <c r="E133" s="382"/>
    </row>
    <row r="134" spans="2:5" x14ac:dyDescent="0.35">
      <c r="B134" s="100" t="s">
        <v>351</v>
      </c>
      <c r="C134" s="90" t="s">
        <v>352</v>
      </c>
      <c r="D134" s="85">
        <v>0</v>
      </c>
      <c r="E134" s="382"/>
    </row>
    <row r="135" spans="2:5" x14ac:dyDescent="0.35">
      <c r="B135" s="100" t="s">
        <v>353</v>
      </c>
      <c r="C135" s="90" t="s">
        <v>354</v>
      </c>
      <c r="D135" s="85">
        <v>0</v>
      </c>
      <c r="E135" s="382"/>
    </row>
    <row r="136" spans="2:5" x14ac:dyDescent="0.35">
      <c r="B136" s="100" t="s">
        <v>355</v>
      </c>
      <c r="C136" s="90" t="s">
        <v>356</v>
      </c>
      <c r="D136" s="85">
        <v>0</v>
      </c>
      <c r="E136" s="382"/>
    </row>
    <row r="137" spans="2:5" x14ac:dyDescent="0.35">
      <c r="B137" s="100" t="s">
        <v>357</v>
      </c>
      <c r="C137" s="90" t="s">
        <v>358</v>
      </c>
      <c r="D137" s="85">
        <v>0</v>
      </c>
      <c r="E137" s="382"/>
    </row>
    <row r="138" spans="2:5" x14ac:dyDescent="0.35">
      <c r="B138" s="100" t="s">
        <v>359</v>
      </c>
      <c r="C138" s="90" t="s">
        <v>360</v>
      </c>
      <c r="D138" s="85">
        <v>0</v>
      </c>
      <c r="E138" s="382"/>
    </row>
    <row r="139" spans="2:5" x14ac:dyDescent="0.35">
      <c r="B139" s="101">
        <v>18</v>
      </c>
      <c r="C139" s="88" t="s">
        <v>361</v>
      </c>
      <c r="D139" s="89">
        <f>SUM(D140:D155)</f>
        <v>0</v>
      </c>
      <c r="E139" s="382"/>
    </row>
    <row r="140" spans="2:5" x14ac:dyDescent="0.35">
      <c r="B140" s="100" t="s">
        <v>362</v>
      </c>
      <c r="C140" s="90" t="s">
        <v>363</v>
      </c>
      <c r="D140" s="85">
        <v>0</v>
      </c>
      <c r="E140" s="382"/>
    </row>
    <row r="141" spans="2:5" x14ac:dyDescent="0.35">
      <c r="B141" s="100" t="s">
        <v>364</v>
      </c>
      <c r="C141" s="90" t="s">
        <v>365</v>
      </c>
      <c r="D141" s="85">
        <v>0</v>
      </c>
      <c r="E141" s="382"/>
    </row>
    <row r="142" spans="2:5" x14ac:dyDescent="0.35">
      <c r="B142" s="100" t="s">
        <v>366</v>
      </c>
      <c r="C142" s="90" t="s">
        <v>367</v>
      </c>
      <c r="D142" s="85">
        <v>0</v>
      </c>
      <c r="E142" s="382"/>
    </row>
    <row r="143" spans="2:5" x14ac:dyDescent="0.35">
      <c r="B143" s="100" t="s">
        <v>368</v>
      </c>
      <c r="C143" s="90" t="s">
        <v>369</v>
      </c>
      <c r="D143" s="85">
        <v>0</v>
      </c>
      <c r="E143" s="382"/>
    </row>
    <row r="144" spans="2:5" x14ac:dyDescent="0.35">
      <c r="B144" s="100" t="s">
        <v>370</v>
      </c>
      <c r="C144" s="90" t="s">
        <v>371</v>
      </c>
      <c r="D144" s="85">
        <v>0</v>
      </c>
      <c r="E144" s="382"/>
    </row>
    <row r="145" spans="2:5" x14ac:dyDescent="0.35">
      <c r="B145" s="100" t="s">
        <v>372</v>
      </c>
      <c r="C145" s="90" t="s">
        <v>373</v>
      </c>
      <c r="D145" s="85">
        <v>0</v>
      </c>
      <c r="E145" s="382"/>
    </row>
    <row r="146" spans="2:5" x14ac:dyDescent="0.35">
      <c r="B146" s="100" t="s">
        <v>374</v>
      </c>
      <c r="C146" s="90" t="s">
        <v>375</v>
      </c>
      <c r="D146" s="85">
        <v>0</v>
      </c>
      <c r="E146" s="382"/>
    </row>
    <row r="147" spans="2:5" x14ac:dyDescent="0.35">
      <c r="B147" s="100" t="s">
        <v>376</v>
      </c>
      <c r="C147" s="90" t="s">
        <v>377</v>
      </c>
      <c r="D147" s="85">
        <v>0</v>
      </c>
      <c r="E147" s="382"/>
    </row>
    <row r="148" spans="2:5" x14ac:dyDescent="0.35">
      <c r="B148" s="100" t="s">
        <v>378</v>
      </c>
      <c r="C148" s="90" t="s">
        <v>379</v>
      </c>
      <c r="D148" s="85">
        <v>0</v>
      </c>
      <c r="E148" s="382"/>
    </row>
    <row r="149" spans="2:5" x14ac:dyDescent="0.35">
      <c r="B149" s="100" t="s">
        <v>380</v>
      </c>
      <c r="C149" s="90" t="s">
        <v>381</v>
      </c>
      <c r="D149" s="85">
        <v>0</v>
      </c>
      <c r="E149" s="382"/>
    </row>
    <row r="150" spans="2:5" x14ac:dyDescent="0.35">
      <c r="B150" s="100" t="s">
        <v>382</v>
      </c>
      <c r="C150" s="90" t="s">
        <v>383</v>
      </c>
      <c r="D150" s="85">
        <v>0</v>
      </c>
      <c r="E150" s="382"/>
    </row>
    <row r="151" spans="2:5" x14ac:dyDescent="0.35">
      <c r="B151" s="100" t="s">
        <v>384</v>
      </c>
      <c r="C151" s="90" t="s">
        <v>385</v>
      </c>
      <c r="D151" s="85">
        <v>0</v>
      </c>
      <c r="E151" s="382"/>
    </row>
    <row r="152" spans="2:5" x14ac:dyDescent="0.35">
      <c r="B152" s="100" t="s">
        <v>386</v>
      </c>
      <c r="C152" s="90" t="s">
        <v>387</v>
      </c>
      <c r="D152" s="85">
        <v>0</v>
      </c>
      <c r="E152" s="382"/>
    </row>
    <row r="153" spans="2:5" x14ac:dyDescent="0.35">
      <c r="B153" s="100" t="s">
        <v>388</v>
      </c>
      <c r="C153" s="90" t="s">
        <v>389</v>
      </c>
      <c r="D153" s="85">
        <v>0</v>
      </c>
      <c r="E153" s="382"/>
    </row>
    <row r="154" spans="2:5" x14ac:dyDescent="0.35">
      <c r="B154" s="100" t="s">
        <v>390</v>
      </c>
      <c r="C154" s="90" t="s">
        <v>391</v>
      </c>
      <c r="D154" s="85">
        <v>0</v>
      </c>
      <c r="E154" s="382"/>
    </row>
    <row r="155" spans="2:5" x14ac:dyDescent="0.35">
      <c r="B155" s="100" t="s">
        <v>392</v>
      </c>
      <c r="C155" s="90" t="s">
        <v>393</v>
      </c>
      <c r="D155" s="85">
        <v>0</v>
      </c>
      <c r="E155" s="382"/>
    </row>
    <row r="156" spans="2:5" x14ac:dyDescent="0.35">
      <c r="B156" s="101">
        <v>19</v>
      </c>
      <c r="C156" s="88" t="s">
        <v>394</v>
      </c>
      <c r="D156" s="89">
        <f>SUM(D157:D160)</f>
        <v>0</v>
      </c>
      <c r="E156" s="382"/>
    </row>
    <row r="157" spans="2:5" x14ac:dyDescent="0.35">
      <c r="B157" s="100" t="s">
        <v>395</v>
      </c>
      <c r="C157" s="90" t="s">
        <v>396</v>
      </c>
      <c r="D157" s="85">
        <v>0</v>
      </c>
      <c r="E157" s="382"/>
    </row>
    <row r="158" spans="2:5" x14ac:dyDescent="0.35">
      <c r="B158" s="100" t="s">
        <v>397</v>
      </c>
      <c r="C158" s="90" t="s">
        <v>398</v>
      </c>
      <c r="D158" s="85">
        <v>0</v>
      </c>
      <c r="E158" s="382"/>
    </row>
    <row r="159" spans="2:5" x14ac:dyDescent="0.35">
      <c r="B159" s="100" t="s">
        <v>399</v>
      </c>
      <c r="C159" s="90" t="s">
        <v>400</v>
      </c>
      <c r="D159" s="85">
        <v>0</v>
      </c>
      <c r="E159" s="382"/>
    </row>
    <row r="160" spans="2:5" x14ac:dyDescent="0.35">
      <c r="B160" s="100" t="s">
        <v>401</v>
      </c>
      <c r="C160" s="90" t="s">
        <v>402</v>
      </c>
      <c r="D160" s="85">
        <v>0</v>
      </c>
      <c r="E160" s="382"/>
    </row>
    <row r="161" spans="2:5" x14ac:dyDescent="0.35">
      <c r="B161" s="101">
        <v>20</v>
      </c>
      <c r="C161" s="88" t="s">
        <v>403</v>
      </c>
      <c r="D161" s="89">
        <f>SUM(D162:D165)</f>
        <v>0</v>
      </c>
      <c r="E161" s="382"/>
    </row>
    <row r="162" spans="2:5" x14ac:dyDescent="0.35">
      <c r="B162" s="100" t="s">
        <v>404</v>
      </c>
      <c r="C162" s="90" t="s">
        <v>405</v>
      </c>
      <c r="D162" s="85">
        <v>0</v>
      </c>
      <c r="E162" s="382"/>
    </row>
    <row r="163" spans="2:5" x14ac:dyDescent="0.35">
      <c r="B163" s="100" t="s">
        <v>406</v>
      </c>
      <c r="C163" s="90" t="s">
        <v>407</v>
      </c>
      <c r="D163" s="85">
        <v>0</v>
      </c>
      <c r="E163" s="382"/>
    </row>
    <row r="164" spans="2:5" x14ac:dyDescent="0.35">
      <c r="B164" s="100" t="s">
        <v>408</v>
      </c>
      <c r="C164" s="90" t="s">
        <v>409</v>
      </c>
      <c r="D164" s="85">
        <v>0</v>
      </c>
      <c r="E164" s="382"/>
    </row>
    <row r="165" spans="2:5" ht="16" thickBot="1" x14ac:dyDescent="0.4">
      <c r="B165" s="104" t="s">
        <v>410</v>
      </c>
      <c r="C165" s="105" t="s">
        <v>411</v>
      </c>
      <c r="D165" s="93">
        <v>0</v>
      </c>
      <c r="E165" s="382"/>
    </row>
    <row r="166" spans="2:5" ht="16" thickBot="1" x14ac:dyDescent="0.4">
      <c r="B166" s="106"/>
      <c r="C166" s="95"/>
      <c r="D166" s="96"/>
      <c r="E166" s="382"/>
    </row>
    <row r="167" spans="2:5" ht="16" thickBot="1" x14ac:dyDescent="0.4">
      <c r="B167" s="106"/>
      <c r="C167" s="107" t="s">
        <v>112</v>
      </c>
      <c r="D167" s="108">
        <f>+D161+D156+D139+D122+D120+D117+D113+D110+D105+D97+D86+D73+D44+D28</f>
        <v>0</v>
      </c>
      <c r="E167" s="382"/>
    </row>
    <row r="168" spans="2:5" ht="16" thickBot="1" x14ac:dyDescent="0.4">
      <c r="E168" s="382"/>
    </row>
    <row r="169" spans="2:5" ht="16" thickBot="1" x14ac:dyDescent="0.4">
      <c r="C169" s="109" t="s">
        <v>612</v>
      </c>
      <c r="D169" s="110">
        <f>+D26+D167</f>
        <v>0</v>
      </c>
      <c r="E169" s="382"/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01E8-16D3-4616-B973-AA69659FFBDB}">
  <dimension ref="B1:E169"/>
  <sheetViews>
    <sheetView workbookViewId="0">
      <selection activeCell="E1" sqref="E1:E1048576"/>
    </sheetView>
  </sheetViews>
  <sheetFormatPr defaultRowHeight="15.5" x14ac:dyDescent="0.35"/>
  <cols>
    <col min="2" max="2" width="5" style="79" bestFit="1" customWidth="1"/>
    <col min="3" max="3" width="56.6640625" style="79" bestFit="1" customWidth="1"/>
    <col min="4" max="4" width="11.83203125" style="79" bestFit="1" customWidth="1"/>
    <col min="5" max="5" width="11.58203125" bestFit="1" customWidth="1"/>
  </cols>
  <sheetData>
    <row r="1" spans="2:5" ht="16" thickBot="1" x14ac:dyDescent="0.4">
      <c r="B1" s="78" t="s">
        <v>617</v>
      </c>
      <c r="E1" s="381" t="s">
        <v>418</v>
      </c>
    </row>
    <row r="2" spans="2:5" x14ac:dyDescent="0.35">
      <c r="B2" s="80">
        <v>1</v>
      </c>
      <c r="C2" s="81" t="s">
        <v>116</v>
      </c>
      <c r="D2" s="82">
        <f>SUM(D3:D7)</f>
        <v>0</v>
      </c>
      <c r="E2" s="382"/>
    </row>
    <row r="3" spans="2:5" x14ac:dyDescent="0.35">
      <c r="B3" s="83" t="s">
        <v>117</v>
      </c>
      <c r="C3" s="84" t="s">
        <v>118</v>
      </c>
      <c r="D3" s="85">
        <v>0</v>
      </c>
      <c r="E3" s="382"/>
    </row>
    <row r="4" spans="2:5" x14ac:dyDescent="0.35">
      <c r="B4" s="83" t="s">
        <v>119</v>
      </c>
      <c r="C4" s="86" t="s">
        <v>120</v>
      </c>
      <c r="D4" s="85">
        <v>0</v>
      </c>
      <c r="E4" s="382"/>
    </row>
    <row r="5" spans="2:5" x14ac:dyDescent="0.35">
      <c r="B5" s="83" t="s">
        <v>121</v>
      </c>
      <c r="C5" s="84" t="s">
        <v>122</v>
      </c>
      <c r="D5" s="85">
        <v>0</v>
      </c>
      <c r="E5" s="382"/>
    </row>
    <row r="6" spans="2:5" x14ac:dyDescent="0.35">
      <c r="B6" s="83" t="s">
        <v>123</v>
      </c>
      <c r="C6" s="84" t="s">
        <v>15</v>
      </c>
      <c r="D6" s="85">
        <v>0</v>
      </c>
      <c r="E6" s="382"/>
    </row>
    <row r="7" spans="2:5" x14ac:dyDescent="0.35">
      <c r="B7" s="83" t="s">
        <v>124</v>
      </c>
      <c r="C7" s="84" t="s">
        <v>125</v>
      </c>
      <c r="D7" s="85">
        <v>0</v>
      </c>
      <c r="E7" s="382"/>
    </row>
    <row r="8" spans="2:5" x14ac:dyDescent="0.35">
      <c r="B8" s="87">
        <v>2</v>
      </c>
      <c r="C8" s="88" t="s">
        <v>126</v>
      </c>
      <c r="D8" s="89">
        <f>SUM(D9:D12)</f>
        <v>0</v>
      </c>
      <c r="E8" s="382"/>
    </row>
    <row r="9" spans="2:5" x14ac:dyDescent="0.35">
      <c r="B9" s="83" t="s">
        <v>127</v>
      </c>
      <c r="C9" s="84" t="s">
        <v>128</v>
      </c>
      <c r="D9" s="85">
        <v>0</v>
      </c>
      <c r="E9" s="382"/>
    </row>
    <row r="10" spans="2:5" x14ac:dyDescent="0.35">
      <c r="B10" s="83" t="s">
        <v>129</v>
      </c>
      <c r="C10" s="84" t="s">
        <v>130</v>
      </c>
      <c r="D10" s="85">
        <v>0</v>
      </c>
      <c r="E10" s="382"/>
    </row>
    <row r="11" spans="2:5" x14ac:dyDescent="0.35">
      <c r="B11" s="83" t="s">
        <v>131</v>
      </c>
      <c r="C11" s="90" t="s">
        <v>132</v>
      </c>
      <c r="D11" s="85">
        <v>0</v>
      </c>
      <c r="E11" s="382"/>
    </row>
    <row r="12" spans="2:5" x14ac:dyDescent="0.35">
      <c r="B12" s="83" t="s">
        <v>133</v>
      </c>
      <c r="C12" s="90" t="s">
        <v>134</v>
      </c>
      <c r="D12" s="85">
        <v>0</v>
      </c>
      <c r="E12" s="382"/>
    </row>
    <row r="13" spans="2:5" x14ac:dyDescent="0.35">
      <c r="B13" s="87">
        <v>3</v>
      </c>
      <c r="C13" s="88" t="s">
        <v>135</v>
      </c>
      <c r="D13" s="89">
        <f>SUM(D14:D15)</f>
        <v>0</v>
      </c>
      <c r="E13" s="382"/>
    </row>
    <row r="14" spans="2:5" x14ac:dyDescent="0.35">
      <c r="B14" s="83" t="s">
        <v>136</v>
      </c>
      <c r="C14" s="84" t="s">
        <v>137</v>
      </c>
      <c r="D14" s="85">
        <v>0</v>
      </c>
      <c r="E14" s="382"/>
    </row>
    <row r="15" spans="2:5" x14ac:dyDescent="0.35">
      <c r="B15" s="83" t="s">
        <v>138</v>
      </c>
      <c r="C15" s="84" t="s">
        <v>139</v>
      </c>
      <c r="D15" s="85">
        <v>0</v>
      </c>
      <c r="E15" s="382"/>
    </row>
    <row r="16" spans="2:5" x14ac:dyDescent="0.35">
      <c r="B16" s="87">
        <v>4</v>
      </c>
      <c r="C16" s="88" t="s">
        <v>140</v>
      </c>
      <c r="D16" s="89">
        <f>+D17</f>
        <v>0</v>
      </c>
      <c r="E16" s="382"/>
    </row>
    <row r="17" spans="2:5" x14ac:dyDescent="0.35">
      <c r="B17" s="83" t="s">
        <v>141</v>
      </c>
      <c r="C17" s="84" t="s">
        <v>142</v>
      </c>
      <c r="D17" s="85">
        <v>0</v>
      </c>
      <c r="E17" s="382"/>
    </row>
    <row r="18" spans="2:5" x14ac:dyDescent="0.35">
      <c r="B18" s="87">
        <v>5</v>
      </c>
      <c r="C18" s="88" t="s">
        <v>143</v>
      </c>
      <c r="D18" s="89">
        <f>SUM(D19:D21)</f>
        <v>0</v>
      </c>
      <c r="E18" s="382"/>
    </row>
    <row r="19" spans="2:5" x14ac:dyDescent="0.35">
      <c r="B19" s="83" t="s">
        <v>144</v>
      </c>
      <c r="C19" s="84" t="s">
        <v>145</v>
      </c>
      <c r="D19" s="85">
        <v>0</v>
      </c>
      <c r="E19" s="382"/>
    </row>
    <row r="20" spans="2:5" x14ac:dyDescent="0.35">
      <c r="B20" s="83" t="s">
        <v>146</v>
      </c>
      <c r="C20" s="84" t="s">
        <v>147</v>
      </c>
      <c r="D20" s="85">
        <v>0</v>
      </c>
      <c r="E20" s="382"/>
    </row>
    <row r="21" spans="2:5" x14ac:dyDescent="0.35">
      <c r="B21" s="83" t="s">
        <v>148</v>
      </c>
      <c r="C21" s="90" t="s">
        <v>149</v>
      </c>
      <c r="D21" s="85">
        <v>0</v>
      </c>
      <c r="E21" s="382"/>
    </row>
    <row r="22" spans="2:5" x14ac:dyDescent="0.35">
      <c r="B22" s="87">
        <v>6</v>
      </c>
      <c r="C22" s="88" t="s">
        <v>150</v>
      </c>
      <c r="D22" s="89">
        <f>SUM(D23:D24)</f>
        <v>0</v>
      </c>
      <c r="E22" s="382"/>
    </row>
    <row r="23" spans="2:5" x14ac:dyDescent="0.35">
      <c r="B23" s="83" t="s">
        <v>151</v>
      </c>
      <c r="C23" s="84" t="s">
        <v>152</v>
      </c>
      <c r="D23" s="85">
        <v>0</v>
      </c>
      <c r="E23" s="382"/>
    </row>
    <row r="24" spans="2:5" ht="16" thickBot="1" x14ac:dyDescent="0.4">
      <c r="B24" s="91" t="s">
        <v>153</v>
      </c>
      <c r="C24" s="92" t="s">
        <v>154</v>
      </c>
      <c r="D24" s="93">
        <v>0</v>
      </c>
      <c r="E24" s="382"/>
    </row>
    <row r="25" spans="2:5" ht="16" thickBot="1" x14ac:dyDescent="0.4">
      <c r="B25" s="94"/>
      <c r="C25" s="95"/>
      <c r="D25" s="96"/>
      <c r="E25" s="382"/>
    </row>
    <row r="26" spans="2:5" ht="16" thickBot="1" x14ac:dyDescent="0.4">
      <c r="B26" s="94"/>
      <c r="C26" s="97" t="s">
        <v>113</v>
      </c>
      <c r="D26" s="98">
        <f>+D22+D18+D16+D13+D8+D2</f>
        <v>0</v>
      </c>
      <c r="E26" s="382"/>
    </row>
    <row r="27" spans="2:5" ht="16" thickBot="1" x14ac:dyDescent="0.4">
      <c r="E27" s="382"/>
    </row>
    <row r="28" spans="2:5" x14ac:dyDescent="0.35">
      <c r="B28" s="99">
        <v>7</v>
      </c>
      <c r="C28" s="81" t="s">
        <v>155</v>
      </c>
      <c r="D28" s="82">
        <f>SUM(D29:D43)</f>
        <v>0</v>
      </c>
      <c r="E28" s="382"/>
    </row>
    <row r="29" spans="2:5" x14ac:dyDescent="0.35">
      <c r="B29" s="100" t="s">
        <v>156</v>
      </c>
      <c r="C29" s="90" t="s">
        <v>157</v>
      </c>
      <c r="D29" s="85">
        <v>0</v>
      </c>
      <c r="E29" s="382"/>
    </row>
    <row r="30" spans="2:5" x14ac:dyDescent="0.35">
      <c r="B30" s="100" t="s">
        <v>158</v>
      </c>
      <c r="C30" s="90" t="s">
        <v>159</v>
      </c>
      <c r="D30" s="85">
        <v>0</v>
      </c>
      <c r="E30" s="382"/>
    </row>
    <row r="31" spans="2:5" x14ac:dyDescent="0.35">
      <c r="B31" s="100" t="s">
        <v>160</v>
      </c>
      <c r="C31" s="90" t="s">
        <v>161</v>
      </c>
      <c r="D31" s="85">
        <v>0</v>
      </c>
      <c r="E31" s="382"/>
    </row>
    <row r="32" spans="2:5" x14ac:dyDescent="0.35">
      <c r="B32" s="100" t="s">
        <v>162</v>
      </c>
      <c r="C32" s="90" t="s">
        <v>163</v>
      </c>
      <c r="D32" s="85">
        <v>0</v>
      </c>
      <c r="E32" s="382"/>
    </row>
    <row r="33" spans="2:5" x14ac:dyDescent="0.35">
      <c r="B33" s="100" t="s">
        <v>164</v>
      </c>
      <c r="C33" s="90" t="s">
        <v>165</v>
      </c>
      <c r="D33" s="85">
        <v>0</v>
      </c>
      <c r="E33" s="382"/>
    </row>
    <row r="34" spans="2:5" x14ac:dyDescent="0.35">
      <c r="B34" s="100" t="s">
        <v>166</v>
      </c>
      <c r="C34" s="90" t="s">
        <v>167</v>
      </c>
      <c r="D34" s="85">
        <v>0</v>
      </c>
      <c r="E34" s="382"/>
    </row>
    <row r="35" spans="2:5" x14ac:dyDescent="0.35">
      <c r="B35" s="100" t="s">
        <v>168</v>
      </c>
      <c r="C35" s="90" t="s">
        <v>169</v>
      </c>
      <c r="D35" s="85">
        <v>0</v>
      </c>
      <c r="E35" s="382"/>
    </row>
    <row r="36" spans="2:5" x14ac:dyDescent="0.35">
      <c r="B36" s="100" t="s">
        <v>170</v>
      </c>
      <c r="C36" s="90" t="s">
        <v>171</v>
      </c>
      <c r="D36" s="85">
        <v>0</v>
      </c>
      <c r="E36" s="382"/>
    </row>
    <row r="37" spans="2:5" x14ac:dyDescent="0.35">
      <c r="B37" s="100" t="s">
        <v>172</v>
      </c>
      <c r="C37" s="90" t="s">
        <v>173</v>
      </c>
      <c r="D37" s="85">
        <v>0</v>
      </c>
      <c r="E37" s="382"/>
    </row>
    <row r="38" spans="2:5" x14ac:dyDescent="0.35">
      <c r="B38" s="100" t="s">
        <v>174</v>
      </c>
      <c r="C38" s="90" t="s">
        <v>175</v>
      </c>
      <c r="D38" s="85">
        <v>0</v>
      </c>
      <c r="E38" s="382"/>
    </row>
    <row r="39" spans="2:5" x14ac:dyDescent="0.35">
      <c r="B39" s="100" t="s">
        <v>176</v>
      </c>
      <c r="C39" s="90" t="s">
        <v>177</v>
      </c>
      <c r="D39" s="85">
        <v>0</v>
      </c>
      <c r="E39" s="382"/>
    </row>
    <row r="40" spans="2:5" x14ac:dyDescent="0.35">
      <c r="B40" s="100" t="s">
        <v>178</v>
      </c>
      <c r="C40" s="90" t="s">
        <v>179</v>
      </c>
      <c r="D40" s="85">
        <v>0</v>
      </c>
      <c r="E40" s="382"/>
    </row>
    <row r="41" spans="2:5" x14ac:dyDescent="0.35">
      <c r="B41" s="100" t="s">
        <v>180</v>
      </c>
      <c r="C41" s="90" t="s">
        <v>181</v>
      </c>
      <c r="D41" s="85">
        <v>0</v>
      </c>
      <c r="E41" s="382"/>
    </row>
    <row r="42" spans="2:5" x14ac:dyDescent="0.35">
      <c r="B42" s="100" t="s">
        <v>182</v>
      </c>
      <c r="C42" s="90" t="s">
        <v>163</v>
      </c>
      <c r="D42" s="85">
        <v>0</v>
      </c>
      <c r="E42" s="382"/>
    </row>
    <row r="43" spans="2:5" x14ac:dyDescent="0.35">
      <c r="B43" s="100" t="s">
        <v>183</v>
      </c>
      <c r="C43" s="90" t="s">
        <v>184</v>
      </c>
      <c r="D43" s="85">
        <v>0</v>
      </c>
      <c r="E43" s="382"/>
    </row>
    <row r="44" spans="2:5" x14ac:dyDescent="0.35">
      <c r="B44" s="101">
        <v>8</v>
      </c>
      <c r="C44" s="88" t="s">
        <v>185</v>
      </c>
      <c r="D44" s="89">
        <f>SUM(D45:D72)</f>
        <v>0</v>
      </c>
      <c r="E44" s="382"/>
    </row>
    <row r="45" spans="2:5" x14ac:dyDescent="0.35">
      <c r="B45" s="100" t="s">
        <v>186</v>
      </c>
      <c r="C45" s="90" t="s">
        <v>187</v>
      </c>
      <c r="D45" s="85">
        <v>0</v>
      </c>
      <c r="E45" s="382"/>
    </row>
    <row r="46" spans="2:5" x14ac:dyDescent="0.35">
      <c r="B46" s="100" t="s">
        <v>188</v>
      </c>
      <c r="C46" s="90" t="s">
        <v>189</v>
      </c>
      <c r="D46" s="85">
        <v>0</v>
      </c>
      <c r="E46" s="382"/>
    </row>
    <row r="47" spans="2:5" x14ac:dyDescent="0.35">
      <c r="B47" s="100" t="s">
        <v>190</v>
      </c>
      <c r="C47" s="90" t="s">
        <v>191</v>
      </c>
      <c r="D47" s="85">
        <v>0</v>
      </c>
      <c r="E47" s="382"/>
    </row>
    <row r="48" spans="2:5" x14ac:dyDescent="0.35">
      <c r="B48" s="100" t="s">
        <v>192</v>
      </c>
      <c r="C48" s="90" t="s">
        <v>193</v>
      </c>
      <c r="D48" s="85">
        <v>0</v>
      </c>
      <c r="E48" s="382"/>
    </row>
    <row r="49" spans="2:5" x14ac:dyDescent="0.35">
      <c r="B49" s="100" t="s">
        <v>194</v>
      </c>
      <c r="C49" s="90" t="s">
        <v>195</v>
      </c>
      <c r="D49" s="85">
        <v>0</v>
      </c>
      <c r="E49" s="382"/>
    </row>
    <row r="50" spans="2:5" x14ac:dyDescent="0.35">
      <c r="B50" s="100" t="s">
        <v>196</v>
      </c>
      <c r="C50" s="90" t="s">
        <v>197</v>
      </c>
      <c r="D50" s="85">
        <v>0</v>
      </c>
      <c r="E50" s="382"/>
    </row>
    <row r="51" spans="2:5" x14ac:dyDescent="0.35">
      <c r="B51" s="100" t="s">
        <v>198</v>
      </c>
      <c r="C51" s="90" t="s">
        <v>199</v>
      </c>
      <c r="D51" s="85">
        <v>0</v>
      </c>
      <c r="E51" s="382"/>
    </row>
    <row r="52" spans="2:5" x14ac:dyDescent="0.35">
      <c r="B52" s="100" t="s">
        <v>200</v>
      </c>
      <c r="C52" s="90" t="s">
        <v>201</v>
      </c>
      <c r="D52" s="85">
        <v>0</v>
      </c>
      <c r="E52" s="382"/>
    </row>
    <row r="53" spans="2:5" x14ac:dyDescent="0.35">
      <c r="B53" s="100" t="s">
        <v>202</v>
      </c>
      <c r="C53" s="90" t="s">
        <v>203</v>
      </c>
      <c r="D53" s="85">
        <v>0</v>
      </c>
      <c r="E53" s="382"/>
    </row>
    <row r="54" spans="2:5" x14ac:dyDescent="0.35">
      <c r="B54" s="100" t="s">
        <v>204</v>
      </c>
      <c r="C54" s="90" t="s">
        <v>205</v>
      </c>
      <c r="D54" s="85">
        <v>0</v>
      </c>
      <c r="E54" s="382"/>
    </row>
    <row r="55" spans="2:5" x14ac:dyDescent="0.35">
      <c r="B55" s="100" t="s">
        <v>206</v>
      </c>
      <c r="C55" s="90" t="s">
        <v>207</v>
      </c>
      <c r="D55" s="85">
        <v>0</v>
      </c>
      <c r="E55" s="382"/>
    </row>
    <row r="56" spans="2:5" x14ac:dyDescent="0.35">
      <c r="B56" s="100" t="s">
        <v>208</v>
      </c>
      <c r="C56" s="90" t="s">
        <v>209</v>
      </c>
      <c r="D56" s="85">
        <v>0</v>
      </c>
      <c r="E56" s="382"/>
    </row>
    <row r="57" spans="2:5" x14ac:dyDescent="0.35">
      <c r="B57" s="100" t="s">
        <v>210</v>
      </c>
      <c r="C57" s="90" t="s">
        <v>211</v>
      </c>
      <c r="D57" s="85">
        <v>0</v>
      </c>
      <c r="E57" s="382"/>
    </row>
    <row r="58" spans="2:5" x14ac:dyDescent="0.35">
      <c r="B58" s="100" t="s">
        <v>212</v>
      </c>
      <c r="C58" s="90" t="s">
        <v>213</v>
      </c>
      <c r="D58" s="85">
        <v>0</v>
      </c>
      <c r="E58" s="382"/>
    </row>
    <row r="59" spans="2:5" x14ac:dyDescent="0.35">
      <c r="B59" s="100" t="s">
        <v>214</v>
      </c>
      <c r="C59" s="90" t="s">
        <v>215</v>
      </c>
      <c r="D59" s="85">
        <v>0</v>
      </c>
      <c r="E59" s="382"/>
    </row>
    <row r="60" spans="2:5" x14ac:dyDescent="0.35">
      <c r="B60" s="100" t="s">
        <v>216</v>
      </c>
      <c r="C60" s="90" t="s">
        <v>217</v>
      </c>
      <c r="D60" s="85">
        <v>0</v>
      </c>
      <c r="E60" s="382"/>
    </row>
    <row r="61" spans="2:5" x14ac:dyDescent="0.35">
      <c r="B61" s="100" t="s">
        <v>218</v>
      </c>
      <c r="C61" s="90" t="s">
        <v>219</v>
      </c>
      <c r="D61" s="85">
        <v>0</v>
      </c>
      <c r="E61" s="382"/>
    </row>
    <row r="62" spans="2:5" x14ac:dyDescent="0.35">
      <c r="B62" s="100" t="s">
        <v>220</v>
      </c>
      <c r="C62" s="90" t="s">
        <v>221</v>
      </c>
      <c r="D62" s="85">
        <v>0</v>
      </c>
      <c r="E62" s="382"/>
    </row>
    <row r="63" spans="2:5" x14ac:dyDescent="0.35">
      <c r="B63" s="100" t="s">
        <v>222</v>
      </c>
      <c r="C63" s="90" t="s">
        <v>223</v>
      </c>
      <c r="D63" s="85">
        <v>0</v>
      </c>
      <c r="E63" s="382"/>
    </row>
    <row r="64" spans="2:5" x14ac:dyDescent="0.35">
      <c r="B64" s="100" t="s">
        <v>224</v>
      </c>
      <c r="C64" s="90" t="s">
        <v>225</v>
      </c>
      <c r="D64" s="85">
        <v>0</v>
      </c>
      <c r="E64" s="382"/>
    </row>
    <row r="65" spans="2:5" x14ac:dyDescent="0.35">
      <c r="B65" s="100" t="s">
        <v>226</v>
      </c>
      <c r="C65" s="90" t="s">
        <v>227</v>
      </c>
      <c r="D65" s="85">
        <v>0</v>
      </c>
      <c r="E65" s="382"/>
    </row>
    <row r="66" spans="2:5" x14ac:dyDescent="0.35">
      <c r="B66" s="100" t="s">
        <v>228</v>
      </c>
      <c r="C66" s="90" t="s">
        <v>229</v>
      </c>
      <c r="D66" s="85">
        <v>0</v>
      </c>
      <c r="E66" s="382"/>
    </row>
    <row r="67" spans="2:5" x14ac:dyDescent="0.35">
      <c r="B67" s="100" t="s">
        <v>230</v>
      </c>
      <c r="C67" s="90" t="s">
        <v>231</v>
      </c>
      <c r="D67" s="85">
        <v>0</v>
      </c>
      <c r="E67" s="382"/>
    </row>
    <row r="68" spans="2:5" x14ac:dyDescent="0.35">
      <c r="B68" s="100" t="s">
        <v>232</v>
      </c>
      <c r="C68" s="90" t="s">
        <v>233</v>
      </c>
      <c r="D68" s="85">
        <v>0</v>
      </c>
      <c r="E68" s="382"/>
    </row>
    <row r="69" spans="2:5" x14ac:dyDescent="0.35">
      <c r="B69" s="100" t="s">
        <v>234</v>
      </c>
      <c r="C69" s="90" t="s">
        <v>235</v>
      </c>
      <c r="D69" s="85">
        <v>0</v>
      </c>
      <c r="E69" s="382"/>
    </row>
    <row r="70" spans="2:5" x14ac:dyDescent="0.35">
      <c r="B70" s="100" t="s">
        <v>236</v>
      </c>
      <c r="C70" s="90" t="s">
        <v>237</v>
      </c>
      <c r="D70" s="85">
        <v>0</v>
      </c>
      <c r="E70" s="382"/>
    </row>
    <row r="71" spans="2:5" x14ac:dyDescent="0.35">
      <c r="B71" s="100" t="s">
        <v>238</v>
      </c>
      <c r="C71" s="90" t="s">
        <v>239</v>
      </c>
      <c r="D71" s="85">
        <v>0</v>
      </c>
      <c r="E71" s="382"/>
    </row>
    <row r="72" spans="2:5" x14ac:dyDescent="0.35">
      <c r="B72" s="100" t="s">
        <v>240</v>
      </c>
      <c r="C72" s="90" t="s">
        <v>241</v>
      </c>
      <c r="D72" s="85">
        <v>0</v>
      </c>
      <c r="E72" s="382"/>
    </row>
    <row r="73" spans="2:5" x14ac:dyDescent="0.35">
      <c r="B73" s="87">
        <v>9</v>
      </c>
      <c r="C73" s="88" t="s">
        <v>242</v>
      </c>
      <c r="D73" s="89">
        <f>SUM(D74:D85)</f>
        <v>0</v>
      </c>
      <c r="E73" s="382"/>
    </row>
    <row r="74" spans="2:5" x14ac:dyDescent="0.35">
      <c r="B74" s="100" t="s">
        <v>243</v>
      </c>
      <c r="C74" s="90" t="s">
        <v>244</v>
      </c>
      <c r="D74" s="85">
        <v>0</v>
      </c>
      <c r="E74" s="382"/>
    </row>
    <row r="75" spans="2:5" x14ac:dyDescent="0.35">
      <c r="B75" s="100" t="s">
        <v>245</v>
      </c>
      <c r="C75" s="90" t="s">
        <v>246</v>
      </c>
      <c r="D75" s="85">
        <v>0</v>
      </c>
      <c r="E75" s="382"/>
    </row>
    <row r="76" spans="2:5" x14ac:dyDescent="0.35">
      <c r="B76" s="100" t="s">
        <v>247</v>
      </c>
      <c r="C76" s="90" t="s">
        <v>248</v>
      </c>
      <c r="D76" s="85">
        <v>0</v>
      </c>
      <c r="E76" s="382"/>
    </row>
    <row r="77" spans="2:5" x14ac:dyDescent="0.35">
      <c r="B77" s="100" t="s">
        <v>249</v>
      </c>
      <c r="C77" s="90" t="s">
        <v>250</v>
      </c>
      <c r="D77" s="85">
        <v>0</v>
      </c>
      <c r="E77" s="382"/>
    </row>
    <row r="78" spans="2:5" x14ac:dyDescent="0.35">
      <c r="B78" s="100" t="s">
        <v>251</v>
      </c>
      <c r="C78" s="90" t="s">
        <v>252</v>
      </c>
      <c r="D78" s="85">
        <v>0</v>
      </c>
      <c r="E78" s="382"/>
    </row>
    <row r="79" spans="2:5" x14ac:dyDescent="0.35">
      <c r="B79" s="100" t="s">
        <v>253</v>
      </c>
      <c r="C79" s="90" t="s">
        <v>254</v>
      </c>
      <c r="D79" s="85">
        <v>0</v>
      </c>
      <c r="E79" s="382"/>
    </row>
    <row r="80" spans="2:5" x14ac:dyDescent="0.35">
      <c r="B80" s="100" t="s">
        <v>255</v>
      </c>
      <c r="C80" s="90" t="s">
        <v>256</v>
      </c>
      <c r="D80" s="85">
        <v>0</v>
      </c>
      <c r="E80" s="382"/>
    </row>
    <row r="81" spans="2:5" x14ac:dyDescent="0.35">
      <c r="B81" s="100" t="s">
        <v>257</v>
      </c>
      <c r="C81" s="90" t="s">
        <v>258</v>
      </c>
      <c r="D81" s="85">
        <v>0</v>
      </c>
      <c r="E81" s="382"/>
    </row>
    <row r="82" spans="2:5" x14ac:dyDescent="0.35">
      <c r="B82" s="100" t="s">
        <v>259</v>
      </c>
      <c r="C82" s="90" t="s">
        <v>260</v>
      </c>
      <c r="D82" s="85">
        <v>0</v>
      </c>
      <c r="E82" s="382"/>
    </row>
    <row r="83" spans="2:5" x14ac:dyDescent="0.35">
      <c r="B83" s="100" t="s">
        <v>261</v>
      </c>
      <c r="C83" s="90" t="s">
        <v>262</v>
      </c>
      <c r="D83" s="85">
        <v>0</v>
      </c>
      <c r="E83" s="382"/>
    </row>
    <row r="84" spans="2:5" x14ac:dyDescent="0.35">
      <c r="B84" s="100" t="s">
        <v>263</v>
      </c>
      <c r="C84" s="90" t="s">
        <v>264</v>
      </c>
      <c r="D84" s="85">
        <v>0</v>
      </c>
      <c r="E84" s="382"/>
    </row>
    <row r="85" spans="2:5" x14ac:dyDescent="0.35">
      <c r="B85" s="100" t="s">
        <v>265</v>
      </c>
      <c r="C85" s="90" t="s">
        <v>266</v>
      </c>
      <c r="D85" s="85">
        <v>0</v>
      </c>
      <c r="E85" s="382"/>
    </row>
    <row r="86" spans="2:5" x14ac:dyDescent="0.35">
      <c r="B86" s="101">
        <v>10</v>
      </c>
      <c r="C86" s="88" t="s">
        <v>267</v>
      </c>
      <c r="D86" s="89">
        <f>SUM(D87:D96)</f>
        <v>0</v>
      </c>
      <c r="E86" s="382"/>
    </row>
    <row r="87" spans="2:5" x14ac:dyDescent="0.35">
      <c r="B87" s="100" t="s">
        <v>268</v>
      </c>
      <c r="C87" s="90" t="s">
        <v>269</v>
      </c>
      <c r="D87" s="85">
        <v>0</v>
      </c>
      <c r="E87" s="382"/>
    </row>
    <row r="88" spans="2:5" x14ac:dyDescent="0.35">
      <c r="B88" s="100" t="s">
        <v>270</v>
      </c>
      <c r="C88" s="102" t="s">
        <v>271</v>
      </c>
      <c r="D88" s="85">
        <v>0</v>
      </c>
      <c r="E88" s="382"/>
    </row>
    <row r="89" spans="2:5" x14ac:dyDescent="0.35">
      <c r="B89" s="100" t="s">
        <v>272</v>
      </c>
      <c r="C89" s="102" t="s">
        <v>273</v>
      </c>
      <c r="D89" s="85">
        <v>0</v>
      </c>
      <c r="E89" s="382"/>
    </row>
    <row r="90" spans="2:5" x14ac:dyDescent="0.35">
      <c r="B90" s="100" t="s">
        <v>274</v>
      </c>
      <c r="C90" s="84" t="s">
        <v>275</v>
      </c>
      <c r="D90" s="85">
        <v>0</v>
      </c>
      <c r="E90" s="382"/>
    </row>
    <row r="91" spans="2:5" x14ac:dyDescent="0.35">
      <c r="B91" s="100" t="s">
        <v>276</v>
      </c>
      <c r="C91" s="84" t="s">
        <v>277</v>
      </c>
      <c r="D91" s="85">
        <v>0</v>
      </c>
      <c r="E91" s="382"/>
    </row>
    <row r="92" spans="2:5" x14ac:dyDescent="0.35">
      <c r="B92" s="100" t="s">
        <v>278</v>
      </c>
      <c r="C92" s="84" t="s">
        <v>279</v>
      </c>
      <c r="D92" s="85">
        <v>0</v>
      </c>
      <c r="E92" s="382"/>
    </row>
    <row r="93" spans="2:5" x14ac:dyDescent="0.35">
      <c r="B93" s="100" t="s">
        <v>280</v>
      </c>
      <c r="C93" s="84" t="s">
        <v>281</v>
      </c>
      <c r="D93" s="85">
        <v>0</v>
      </c>
      <c r="E93" s="382"/>
    </row>
    <row r="94" spans="2:5" x14ac:dyDescent="0.35">
      <c r="B94" s="100" t="s">
        <v>282</v>
      </c>
      <c r="C94" s="84" t="s">
        <v>283</v>
      </c>
      <c r="D94" s="85">
        <v>0</v>
      </c>
      <c r="E94" s="382"/>
    </row>
    <row r="95" spans="2:5" x14ac:dyDescent="0.35">
      <c r="B95" s="100" t="s">
        <v>284</v>
      </c>
      <c r="C95" s="84" t="s">
        <v>285</v>
      </c>
      <c r="D95" s="85">
        <v>0</v>
      </c>
      <c r="E95" s="382"/>
    </row>
    <row r="96" spans="2:5" x14ac:dyDescent="0.35">
      <c r="B96" s="100" t="s">
        <v>286</v>
      </c>
      <c r="C96" s="84" t="s">
        <v>287</v>
      </c>
      <c r="D96" s="85">
        <v>0</v>
      </c>
      <c r="E96" s="382"/>
    </row>
    <row r="97" spans="2:5" x14ac:dyDescent="0.35">
      <c r="B97" s="101">
        <v>11</v>
      </c>
      <c r="C97" s="88" t="s">
        <v>288</v>
      </c>
      <c r="D97" s="89">
        <f>SUM(D98:D104)</f>
        <v>0</v>
      </c>
      <c r="E97" s="382"/>
    </row>
    <row r="98" spans="2:5" x14ac:dyDescent="0.35">
      <c r="B98" s="100" t="s">
        <v>289</v>
      </c>
      <c r="C98" s="84" t="s">
        <v>290</v>
      </c>
      <c r="D98" s="85">
        <v>0</v>
      </c>
      <c r="E98" s="382"/>
    </row>
    <row r="99" spans="2:5" x14ac:dyDescent="0.35">
      <c r="B99" s="100" t="s">
        <v>291</v>
      </c>
      <c r="C99" s="102" t="s">
        <v>292</v>
      </c>
      <c r="D99" s="85">
        <v>0</v>
      </c>
      <c r="E99" s="382"/>
    </row>
    <row r="100" spans="2:5" x14ac:dyDescent="0.35">
      <c r="B100" s="100" t="s">
        <v>293</v>
      </c>
      <c r="C100" s="84" t="s">
        <v>21</v>
      </c>
      <c r="D100" s="85">
        <v>0</v>
      </c>
      <c r="E100" s="382"/>
    </row>
    <row r="101" spans="2:5" x14ac:dyDescent="0.35">
      <c r="B101" s="100" t="s">
        <v>294</v>
      </c>
      <c r="C101" s="90" t="s">
        <v>295</v>
      </c>
      <c r="D101" s="85">
        <v>0</v>
      </c>
      <c r="E101" s="382"/>
    </row>
    <row r="102" spans="2:5" x14ac:dyDescent="0.35">
      <c r="B102" s="100" t="s">
        <v>296</v>
      </c>
      <c r="C102" s="84" t="s">
        <v>297</v>
      </c>
      <c r="D102" s="85">
        <v>0</v>
      </c>
      <c r="E102" s="382"/>
    </row>
    <row r="103" spans="2:5" x14ac:dyDescent="0.35">
      <c r="B103" s="100" t="s">
        <v>298</v>
      </c>
      <c r="C103" s="90" t="s">
        <v>299</v>
      </c>
      <c r="D103" s="85">
        <v>0</v>
      </c>
      <c r="E103" s="382"/>
    </row>
    <row r="104" spans="2:5" x14ac:dyDescent="0.35">
      <c r="B104" s="100" t="s">
        <v>300</v>
      </c>
      <c r="C104" s="90" t="s">
        <v>301</v>
      </c>
      <c r="D104" s="85">
        <v>0</v>
      </c>
      <c r="E104" s="382"/>
    </row>
    <row r="105" spans="2:5" x14ac:dyDescent="0.35">
      <c r="B105" s="101">
        <v>12</v>
      </c>
      <c r="C105" s="88" t="s">
        <v>302</v>
      </c>
      <c r="D105" s="89">
        <f>SUM(D106:D109)</f>
        <v>0</v>
      </c>
      <c r="E105" s="382"/>
    </row>
    <row r="106" spans="2:5" x14ac:dyDescent="0.35">
      <c r="B106" s="100" t="s">
        <v>303</v>
      </c>
      <c r="C106" s="102" t="s">
        <v>27</v>
      </c>
      <c r="D106" s="85">
        <v>0</v>
      </c>
      <c r="E106" s="382"/>
    </row>
    <row r="107" spans="2:5" x14ac:dyDescent="0.35">
      <c r="B107" s="100" t="s">
        <v>304</v>
      </c>
      <c r="C107" s="102" t="s">
        <v>305</v>
      </c>
      <c r="D107" s="85">
        <v>0</v>
      </c>
      <c r="E107" s="382"/>
    </row>
    <row r="108" spans="2:5" x14ac:dyDescent="0.35">
      <c r="B108" s="100" t="s">
        <v>306</v>
      </c>
      <c r="C108" s="102" t="s">
        <v>307</v>
      </c>
      <c r="D108" s="85">
        <v>0</v>
      </c>
      <c r="E108" s="382"/>
    </row>
    <row r="109" spans="2:5" x14ac:dyDescent="0.35">
      <c r="B109" s="100" t="s">
        <v>308</v>
      </c>
      <c r="C109" s="102" t="s">
        <v>139</v>
      </c>
      <c r="D109" s="85">
        <v>0</v>
      </c>
      <c r="E109" s="382"/>
    </row>
    <row r="110" spans="2:5" x14ac:dyDescent="0.35">
      <c r="B110" s="101">
        <v>13</v>
      </c>
      <c r="C110" s="88" t="s">
        <v>309</v>
      </c>
      <c r="D110" s="89">
        <f>SUM(D111:D112)</f>
        <v>0</v>
      </c>
      <c r="E110" s="382"/>
    </row>
    <row r="111" spans="2:5" x14ac:dyDescent="0.35">
      <c r="B111" s="100" t="s">
        <v>310</v>
      </c>
      <c r="C111" s="90" t="s">
        <v>311</v>
      </c>
      <c r="D111" s="85">
        <v>0</v>
      </c>
      <c r="E111" s="382"/>
    </row>
    <row r="112" spans="2:5" x14ac:dyDescent="0.35">
      <c r="B112" s="100" t="s">
        <v>312</v>
      </c>
      <c r="C112" s="90" t="s">
        <v>313</v>
      </c>
      <c r="D112" s="85">
        <v>0</v>
      </c>
      <c r="E112" s="382"/>
    </row>
    <row r="113" spans="2:5" x14ac:dyDescent="0.35">
      <c r="B113" s="101">
        <v>14</v>
      </c>
      <c r="C113" s="88" t="s">
        <v>314</v>
      </c>
      <c r="D113" s="89">
        <f>SUM(D114:D116)</f>
        <v>0</v>
      </c>
      <c r="E113" s="382"/>
    </row>
    <row r="114" spans="2:5" x14ac:dyDescent="0.35">
      <c r="B114" s="100" t="s">
        <v>315</v>
      </c>
      <c r="C114" s="102" t="s">
        <v>316</v>
      </c>
      <c r="D114" s="85">
        <v>0</v>
      </c>
      <c r="E114" s="382"/>
    </row>
    <row r="115" spans="2:5" x14ac:dyDescent="0.35">
      <c r="B115" s="100" t="s">
        <v>317</v>
      </c>
      <c r="C115" s="102" t="s">
        <v>318</v>
      </c>
      <c r="D115" s="85">
        <v>0</v>
      </c>
      <c r="E115" s="382"/>
    </row>
    <row r="116" spans="2:5" x14ac:dyDescent="0.35">
      <c r="B116" s="100" t="s">
        <v>319</v>
      </c>
      <c r="C116" s="102" t="s">
        <v>20</v>
      </c>
      <c r="D116" s="85">
        <v>0</v>
      </c>
      <c r="E116" s="382"/>
    </row>
    <row r="117" spans="2:5" x14ac:dyDescent="0.35">
      <c r="B117" s="101">
        <v>15</v>
      </c>
      <c r="C117" s="88" t="s">
        <v>320</v>
      </c>
      <c r="D117" s="89">
        <f>SUM(D118:D119)</f>
        <v>0</v>
      </c>
      <c r="E117" s="382"/>
    </row>
    <row r="118" spans="2:5" x14ac:dyDescent="0.35">
      <c r="B118" s="100" t="s">
        <v>321</v>
      </c>
      <c r="C118" s="90" t="s">
        <v>322</v>
      </c>
      <c r="D118" s="85">
        <v>0</v>
      </c>
      <c r="E118" s="382"/>
    </row>
    <row r="119" spans="2:5" x14ac:dyDescent="0.35">
      <c r="B119" s="100" t="s">
        <v>323</v>
      </c>
      <c r="C119" s="84" t="s">
        <v>324</v>
      </c>
      <c r="D119" s="85">
        <v>0</v>
      </c>
      <c r="E119" s="382"/>
    </row>
    <row r="120" spans="2:5" x14ac:dyDescent="0.35">
      <c r="B120" s="101">
        <v>16</v>
      </c>
      <c r="C120" s="88" t="s">
        <v>325</v>
      </c>
      <c r="D120" s="89">
        <f>SUM(D121)</f>
        <v>0</v>
      </c>
      <c r="E120" s="382"/>
    </row>
    <row r="121" spans="2:5" x14ac:dyDescent="0.35">
      <c r="B121" s="103" t="s">
        <v>326</v>
      </c>
      <c r="C121" s="102" t="s">
        <v>327</v>
      </c>
      <c r="D121" s="85">
        <v>0</v>
      </c>
      <c r="E121" s="382"/>
    </row>
    <row r="122" spans="2:5" x14ac:dyDescent="0.35">
      <c r="B122" s="101">
        <v>17</v>
      </c>
      <c r="C122" s="88" t="s">
        <v>328</v>
      </c>
      <c r="D122" s="89">
        <f>SUM(D123:D138)</f>
        <v>0</v>
      </c>
      <c r="E122" s="382"/>
    </row>
    <row r="123" spans="2:5" x14ac:dyDescent="0.35">
      <c r="B123" s="100" t="s">
        <v>329</v>
      </c>
      <c r="C123" s="90" t="s">
        <v>330</v>
      </c>
      <c r="D123" s="85">
        <v>0</v>
      </c>
      <c r="E123" s="382"/>
    </row>
    <row r="124" spans="2:5" x14ac:dyDescent="0.35">
      <c r="B124" s="100" t="s">
        <v>331</v>
      </c>
      <c r="C124" s="90" t="s">
        <v>332</v>
      </c>
      <c r="D124" s="85">
        <v>0</v>
      </c>
      <c r="E124" s="382"/>
    </row>
    <row r="125" spans="2:5" x14ac:dyDescent="0.35">
      <c r="B125" s="100" t="s">
        <v>333</v>
      </c>
      <c r="C125" s="90" t="s">
        <v>334</v>
      </c>
      <c r="D125" s="85">
        <v>0</v>
      </c>
      <c r="E125" s="382"/>
    </row>
    <row r="126" spans="2:5" x14ac:dyDescent="0.35">
      <c r="B126" s="100" t="s">
        <v>335</v>
      </c>
      <c r="C126" s="90" t="s">
        <v>336</v>
      </c>
      <c r="D126" s="85">
        <v>0</v>
      </c>
      <c r="E126" s="382"/>
    </row>
    <row r="127" spans="2:5" x14ac:dyDescent="0.35">
      <c r="B127" s="100" t="s">
        <v>337</v>
      </c>
      <c r="C127" s="90" t="s">
        <v>338</v>
      </c>
      <c r="D127" s="85">
        <v>0</v>
      </c>
      <c r="E127" s="382"/>
    </row>
    <row r="128" spans="2:5" x14ac:dyDescent="0.35">
      <c r="B128" s="100" t="s">
        <v>339</v>
      </c>
      <c r="C128" s="90" t="s">
        <v>340</v>
      </c>
      <c r="D128" s="85">
        <v>0</v>
      </c>
      <c r="E128" s="382"/>
    </row>
    <row r="129" spans="2:5" x14ac:dyDescent="0.35">
      <c r="B129" s="100" t="s">
        <v>341</v>
      </c>
      <c r="C129" s="90" t="s">
        <v>342</v>
      </c>
      <c r="D129" s="85">
        <v>0</v>
      </c>
      <c r="E129" s="382"/>
    </row>
    <row r="130" spans="2:5" x14ac:dyDescent="0.35">
      <c r="B130" s="100" t="s">
        <v>343</v>
      </c>
      <c r="C130" s="90" t="s">
        <v>344</v>
      </c>
      <c r="D130" s="85">
        <v>0</v>
      </c>
      <c r="E130" s="382"/>
    </row>
    <row r="131" spans="2:5" x14ac:dyDescent="0.35">
      <c r="B131" s="100" t="s">
        <v>345</v>
      </c>
      <c r="C131" s="90" t="s">
        <v>346</v>
      </c>
      <c r="D131" s="85">
        <v>0</v>
      </c>
      <c r="E131" s="382"/>
    </row>
    <row r="132" spans="2:5" x14ac:dyDescent="0.35">
      <c r="B132" s="100" t="s">
        <v>347</v>
      </c>
      <c r="C132" s="90" t="s">
        <v>348</v>
      </c>
      <c r="D132" s="85">
        <v>0</v>
      </c>
      <c r="E132" s="382"/>
    </row>
    <row r="133" spans="2:5" x14ac:dyDescent="0.35">
      <c r="B133" s="100" t="s">
        <v>349</v>
      </c>
      <c r="C133" s="90" t="s">
        <v>350</v>
      </c>
      <c r="D133" s="85">
        <v>0</v>
      </c>
      <c r="E133" s="382"/>
    </row>
    <row r="134" spans="2:5" x14ac:dyDescent="0.35">
      <c r="B134" s="100" t="s">
        <v>351</v>
      </c>
      <c r="C134" s="90" t="s">
        <v>352</v>
      </c>
      <c r="D134" s="85">
        <v>0</v>
      </c>
      <c r="E134" s="382"/>
    </row>
    <row r="135" spans="2:5" x14ac:dyDescent="0.35">
      <c r="B135" s="100" t="s">
        <v>353</v>
      </c>
      <c r="C135" s="90" t="s">
        <v>354</v>
      </c>
      <c r="D135" s="85">
        <v>0</v>
      </c>
      <c r="E135" s="382"/>
    </row>
    <row r="136" spans="2:5" x14ac:dyDescent="0.35">
      <c r="B136" s="100" t="s">
        <v>355</v>
      </c>
      <c r="C136" s="90" t="s">
        <v>356</v>
      </c>
      <c r="D136" s="85">
        <v>0</v>
      </c>
      <c r="E136" s="382"/>
    </row>
    <row r="137" spans="2:5" x14ac:dyDescent="0.35">
      <c r="B137" s="100" t="s">
        <v>357</v>
      </c>
      <c r="C137" s="90" t="s">
        <v>358</v>
      </c>
      <c r="D137" s="85">
        <v>0</v>
      </c>
      <c r="E137" s="382"/>
    </row>
    <row r="138" spans="2:5" x14ac:dyDescent="0.35">
      <c r="B138" s="100" t="s">
        <v>359</v>
      </c>
      <c r="C138" s="90" t="s">
        <v>360</v>
      </c>
      <c r="D138" s="85">
        <v>0</v>
      </c>
      <c r="E138" s="382"/>
    </row>
    <row r="139" spans="2:5" x14ac:dyDescent="0.35">
      <c r="B139" s="101">
        <v>18</v>
      </c>
      <c r="C139" s="88" t="s">
        <v>361</v>
      </c>
      <c r="D139" s="89">
        <f>SUM(D140:D155)</f>
        <v>0</v>
      </c>
      <c r="E139" s="382"/>
    </row>
    <row r="140" spans="2:5" x14ac:dyDescent="0.35">
      <c r="B140" s="100" t="s">
        <v>362</v>
      </c>
      <c r="C140" s="90" t="s">
        <v>363</v>
      </c>
      <c r="D140" s="85">
        <v>0</v>
      </c>
      <c r="E140" s="382"/>
    </row>
    <row r="141" spans="2:5" x14ac:dyDescent="0.35">
      <c r="B141" s="100" t="s">
        <v>364</v>
      </c>
      <c r="C141" s="90" t="s">
        <v>365</v>
      </c>
      <c r="D141" s="85">
        <v>0</v>
      </c>
      <c r="E141" s="382"/>
    </row>
    <row r="142" spans="2:5" x14ac:dyDescent="0.35">
      <c r="B142" s="100" t="s">
        <v>366</v>
      </c>
      <c r="C142" s="90" t="s">
        <v>367</v>
      </c>
      <c r="D142" s="85">
        <v>0</v>
      </c>
      <c r="E142" s="382"/>
    </row>
    <row r="143" spans="2:5" x14ac:dyDescent="0.35">
      <c r="B143" s="100" t="s">
        <v>368</v>
      </c>
      <c r="C143" s="90" t="s">
        <v>369</v>
      </c>
      <c r="D143" s="85">
        <v>0</v>
      </c>
      <c r="E143" s="382"/>
    </row>
    <row r="144" spans="2:5" x14ac:dyDescent="0.35">
      <c r="B144" s="100" t="s">
        <v>370</v>
      </c>
      <c r="C144" s="90" t="s">
        <v>371</v>
      </c>
      <c r="D144" s="85">
        <v>0</v>
      </c>
      <c r="E144" s="382"/>
    </row>
    <row r="145" spans="2:5" x14ac:dyDescent="0.35">
      <c r="B145" s="100" t="s">
        <v>372</v>
      </c>
      <c r="C145" s="90" t="s">
        <v>373</v>
      </c>
      <c r="D145" s="85">
        <v>0</v>
      </c>
      <c r="E145" s="382"/>
    </row>
    <row r="146" spans="2:5" x14ac:dyDescent="0.35">
      <c r="B146" s="100" t="s">
        <v>374</v>
      </c>
      <c r="C146" s="90" t="s">
        <v>375</v>
      </c>
      <c r="D146" s="85">
        <v>0</v>
      </c>
      <c r="E146" s="382"/>
    </row>
    <row r="147" spans="2:5" x14ac:dyDescent="0.35">
      <c r="B147" s="100" t="s">
        <v>376</v>
      </c>
      <c r="C147" s="90" t="s">
        <v>377</v>
      </c>
      <c r="D147" s="85">
        <v>0</v>
      </c>
      <c r="E147" s="382"/>
    </row>
    <row r="148" spans="2:5" x14ac:dyDescent="0.35">
      <c r="B148" s="100" t="s">
        <v>378</v>
      </c>
      <c r="C148" s="90" t="s">
        <v>379</v>
      </c>
      <c r="D148" s="85">
        <v>0</v>
      </c>
      <c r="E148" s="382"/>
    </row>
    <row r="149" spans="2:5" x14ac:dyDescent="0.35">
      <c r="B149" s="100" t="s">
        <v>380</v>
      </c>
      <c r="C149" s="90" t="s">
        <v>381</v>
      </c>
      <c r="D149" s="85">
        <v>0</v>
      </c>
      <c r="E149" s="382"/>
    </row>
    <row r="150" spans="2:5" x14ac:dyDescent="0.35">
      <c r="B150" s="100" t="s">
        <v>382</v>
      </c>
      <c r="C150" s="90" t="s">
        <v>383</v>
      </c>
      <c r="D150" s="85">
        <v>0</v>
      </c>
      <c r="E150" s="382"/>
    </row>
    <row r="151" spans="2:5" x14ac:dyDescent="0.35">
      <c r="B151" s="100" t="s">
        <v>384</v>
      </c>
      <c r="C151" s="90" t="s">
        <v>385</v>
      </c>
      <c r="D151" s="85">
        <v>0</v>
      </c>
      <c r="E151" s="382"/>
    </row>
    <row r="152" spans="2:5" x14ac:dyDescent="0.35">
      <c r="B152" s="100" t="s">
        <v>386</v>
      </c>
      <c r="C152" s="90" t="s">
        <v>387</v>
      </c>
      <c r="D152" s="85">
        <v>0</v>
      </c>
      <c r="E152" s="382"/>
    </row>
    <row r="153" spans="2:5" x14ac:dyDescent="0.35">
      <c r="B153" s="100" t="s">
        <v>388</v>
      </c>
      <c r="C153" s="90" t="s">
        <v>389</v>
      </c>
      <c r="D153" s="85">
        <v>0</v>
      </c>
      <c r="E153" s="382"/>
    </row>
    <row r="154" spans="2:5" x14ac:dyDescent="0.35">
      <c r="B154" s="100" t="s">
        <v>390</v>
      </c>
      <c r="C154" s="90" t="s">
        <v>391</v>
      </c>
      <c r="D154" s="85">
        <v>0</v>
      </c>
      <c r="E154" s="382"/>
    </row>
    <row r="155" spans="2:5" x14ac:dyDescent="0.35">
      <c r="B155" s="100" t="s">
        <v>392</v>
      </c>
      <c r="C155" s="90" t="s">
        <v>393</v>
      </c>
      <c r="D155" s="85">
        <v>0</v>
      </c>
      <c r="E155" s="382"/>
    </row>
    <row r="156" spans="2:5" x14ac:dyDescent="0.35">
      <c r="B156" s="101">
        <v>19</v>
      </c>
      <c r="C156" s="88" t="s">
        <v>394</v>
      </c>
      <c r="D156" s="89">
        <f>SUM(D157:D160)</f>
        <v>0</v>
      </c>
      <c r="E156" s="382"/>
    </row>
    <row r="157" spans="2:5" x14ac:dyDescent="0.35">
      <c r="B157" s="100" t="s">
        <v>395</v>
      </c>
      <c r="C157" s="90" t="s">
        <v>396</v>
      </c>
      <c r="D157" s="85">
        <v>0</v>
      </c>
      <c r="E157" s="382"/>
    </row>
    <row r="158" spans="2:5" x14ac:dyDescent="0.35">
      <c r="B158" s="100" t="s">
        <v>397</v>
      </c>
      <c r="C158" s="90" t="s">
        <v>398</v>
      </c>
      <c r="D158" s="85">
        <v>0</v>
      </c>
      <c r="E158" s="382"/>
    </row>
    <row r="159" spans="2:5" x14ac:dyDescent="0.35">
      <c r="B159" s="100" t="s">
        <v>399</v>
      </c>
      <c r="C159" s="90" t="s">
        <v>400</v>
      </c>
      <c r="D159" s="85">
        <v>0</v>
      </c>
      <c r="E159" s="382"/>
    </row>
    <row r="160" spans="2:5" x14ac:dyDescent="0.35">
      <c r="B160" s="100" t="s">
        <v>401</v>
      </c>
      <c r="C160" s="90" t="s">
        <v>402</v>
      </c>
      <c r="D160" s="85">
        <v>0</v>
      </c>
      <c r="E160" s="382"/>
    </row>
    <row r="161" spans="2:5" x14ac:dyDescent="0.35">
      <c r="B161" s="101">
        <v>20</v>
      </c>
      <c r="C161" s="88" t="s">
        <v>403</v>
      </c>
      <c r="D161" s="89">
        <f>SUM(D162:D165)</f>
        <v>0</v>
      </c>
      <c r="E161" s="382"/>
    </row>
    <row r="162" spans="2:5" x14ac:dyDescent="0.35">
      <c r="B162" s="100" t="s">
        <v>404</v>
      </c>
      <c r="C162" s="90" t="s">
        <v>405</v>
      </c>
      <c r="D162" s="85">
        <v>0</v>
      </c>
      <c r="E162" s="382"/>
    </row>
    <row r="163" spans="2:5" x14ac:dyDescent="0.35">
      <c r="B163" s="100" t="s">
        <v>406</v>
      </c>
      <c r="C163" s="90" t="s">
        <v>407</v>
      </c>
      <c r="D163" s="85">
        <v>0</v>
      </c>
      <c r="E163" s="382"/>
    </row>
    <row r="164" spans="2:5" x14ac:dyDescent="0.35">
      <c r="B164" s="100" t="s">
        <v>408</v>
      </c>
      <c r="C164" s="90" t="s">
        <v>409</v>
      </c>
      <c r="D164" s="85">
        <v>0</v>
      </c>
      <c r="E164" s="382"/>
    </row>
    <row r="165" spans="2:5" ht="16" thickBot="1" x14ac:dyDescent="0.4">
      <c r="B165" s="104" t="s">
        <v>410</v>
      </c>
      <c r="C165" s="105" t="s">
        <v>411</v>
      </c>
      <c r="D165" s="93">
        <v>0</v>
      </c>
      <c r="E165" s="382"/>
    </row>
    <row r="166" spans="2:5" ht="16" thickBot="1" x14ac:dyDescent="0.4">
      <c r="B166" s="106"/>
      <c r="C166" s="95"/>
      <c r="D166" s="96"/>
      <c r="E166" s="382"/>
    </row>
    <row r="167" spans="2:5" ht="16" thickBot="1" x14ac:dyDescent="0.4">
      <c r="B167" s="106"/>
      <c r="C167" s="107" t="s">
        <v>112</v>
      </c>
      <c r="D167" s="108">
        <f>+D161+D156+D139+D122+D120+D117+D113+D110+D105+D97+D86+D73+D44+D28</f>
        <v>0</v>
      </c>
      <c r="E167" s="382"/>
    </row>
    <row r="168" spans="2:5" ht="16" thickBot="1" x14ac:dyDescent="0.4">
      <c r="E168" s="382"/>
    </row>
    <row r="169" spans="2:5" ht="16" thickBot="1" x14ac:dyDescent="0.4">
      <c r="C169" s="109" t="s">
        <v>612</v>
      </c>
      <c r="D169" s="110">
        <f>+D26+D167</f>
        <v>0</v>
      </c>
      <c r="E169" s="382"/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1FAE4-BB1D-49F6-948F-B252F67DBA29}">
  <sheetPr>
    <tabColor theme="1"/>
  </sheetPr>
  <dimension ref="B2:AG39"/>
  <sheetViews>
    <sheetView showGridLines="0" zoomScaleNormal="100" workbookViewId="0">
      <selection activeCell="E1" sqref="E1:E1048576"/>
    </sheetView>
  </sheetViews>
  <sheetFormatPr defaultRowHeight="15.5" x14ac:dyDescent="0.35"/>
  <cols>
    <col min="1" max="1" width="2.6640625" customWidth="1"/>
    <col min="2" max="2" width="9.6640625" customWidth="1"/>
    <col min="3" max="26" width="5.58203125" customWidth="1"/>
    <col min="27" max="27" width="14.25" customWidth="1"/>
    <col min="28" max="31" width="5.58203125" customWidth="1"/>
    <col min="32" max="32" width="1.08203125" customWidth="1"/>
  </cols>
  <sheetData>
    <row r="2" spans="2:33" x14ac:dyDescent="0.35">
      <c r="B2" s="381" t="s">
        <v>636</v>
      </c>
    </row>
    <row r="4" spans="2:33" x14ac:dyDescent="0.35">
      <c r="B4" s="479" t="s">
        <v>637</v>
      </c>
      <c r="C4" s="480"/>
      <c r="D4" s="480"/>
      <c r="E4" s="480"/>
      <c r="F4" s="480"/>
      <c r="G4" s="480"/>
      <c r="H4" s="481" t="s">
        <v>660</v>
      </c>
      <c r="I4" s="480"/>
      <c r="J4" s="480"/>
    </row>
    <row r="5" spans="2:33" x14ac:dyDescent="0.35">
      <c r="B5" s="479" t="s">
        <v>638</v>
      </c>
      <c r="C5" s="480"/>
      <c r="D5" s="480"/>
      <c r="E5" s="480"/>
      <c r="F5" s="480"/>
      <c r="G5" s="480"/>
      <c r="H5" s="482" t="s">
        <v>656</v>
      </c>
      <c r="I5" s="480"/>
      <c r="J5" s="480"/>
    </row>
    <row r="6" spans="2:33" x14ac:dyDescent="0.35">
      <c r="B6" s="479" t="s">
        <v>639</v>
      </c>
      <c r="C6" s="480"/>
      <c r="D6" s="480"/>
      <c r="E6" s="480"/>
      <c r="F6" s="480"/>
      <c r="G6" s="480"/>
      <c r="H6" s="482" t="s">
        <v>657</v>
      </c>
      <c r="I6" s="480"/>
      <c r="J6" s="480"/>
    </row>
    <row r="7" spans="2:33" x14ac:dyDescent="0.35">
      <c r="B7" s="479" t="s">
        <v>640</v>
      </c>
      <c r="C7" s="480"/>
      <c r="D7" s="480"/>
      <c r="E7" s="480"/>
      <c r="F7" s="480"/>
      <c r="G7" s="480"/>
      <c r="H7" s="482" t="s">
        <v>658</v>
      </c>
      <c r="I7" s="480"/>
      <c r="J7" s="480"/>
    </row>
    <row r="8" spans="2:33" x14ac:dyDescent="0.35">
      <c r="B8" s="479" t="s">
        <v>641</v>
      </c>
      <c r="C8" s="480"/>
      <c r="D8" s="480"/>
      <c r="E8" s="480"/>
      <c r="F8" s="480"/>
      <c r="G8" s="480"/>
      <c r="H8" s="482" t="s">
        <v>659</v>
      </c>
      <c r="I8" s="480"/>
      <c r="J8" s="480"/>
    </row>
    <row r="10" spans="2:33" x14ac:dyDescent="0.35">
      <c r="B10" s="421" t="s">
        <v>650</v>
      </c>
    </row>
    <row r="11" spans="2:33" ht="16" thickBot="1" x14ac:dyDescent="0.4"/>
    <row r="12" spans="2:33" x14ac:dyDescent="0.35">
      <c r="B12" s="523"/>
      <c r="C12" s="531" t="s">
        <v>671</v>
      </c>
      <c r="D12" s="532"/>
      <c r="E12" s="532"/>
      <c r="F12" s="533"/>
      <c r="G12" s="520" t="s">
        <v>675</v>
      </c>
      <c r="H12" s="521"/>
      <c r="I12" s="521"/>
      <c r="J12" s="534"/>
      <c r="K12" s="535" t="s">
        <v>652</v>
      </c>
      <c r="L12" s="521"/>
      <c r="M12" s="521"/>
      <c r="N12" s="522"/>
      <c r="O12" s="520" t="s">
        <v>653</v>
      </c>
      <c r="P12" s="521"/>
      <c r="Q12" s="521"/>
      <c r="R12" s="534"/>
      <c r="S12" s="535" t="s">
        <v>654</v>
      </c>
      <c r="T12" s="521"/>
      <c r="U12" s="521"/>
      <c r="V12" s="522"/>
      <c r="W12" s="520" t="s">
        <v>676</v>
      </c>
      <c r="X12" s="521"/>
      <c r="Y12" s="521"/>
      <c r="Z12" s="534"/>
      <c r="AA12" s="437" t="s">
        <v>662</v>
      </c>
      <c r="AB12" s="520" t="s">
        <v>655</v>
      </c>
      <c r="AC12" s="521"/>
      <c r="AD12" s="521"/>
      <c r="AE12" s="522"/>
      <c r="AF12" s="469"/>
    </row>
    <row r="13" spans="2:33" x14ac:dyDescent="0.35">
      <c r="B13" s="524"/>
      <c r="C13" s="439" t="s">
        <v>647</v>
      </c>
      <c r="D13" s="440" t="s">
        <v>651</v>
      </c>
      <c r="E13" s="441" t="s">
        <v>648</v>
      </c>
      <c r="F13" s="442" t="s">
        <v>649</v>
      </c>
      <c r="G13" s="429" t="s">
        <v>647</v>
      </c>
      <c r="H13" s="422" t="s">
        <v>651</v>
      </c>
      <c r="I13" s="423" t="s">
        <v>648</v>
      </c>
      <c r="J13" s="434" t="s">
        <v>649</v>
      </c>
      <c r="K13" s="431" t="s">
        <v>647</v>
      </c>
      <c r="L13" s="422" t="s">
        <v>651</v>
      </c>
      <c r="M13" s="423" t="s">
        <v>648</v>
      </c>
      <c r="N13" s="426" t="s">
        <v>649</v>
      </c>
      <c r="O13" s="429" t="s">
        <v>647</v>
      </c>
      <c r="P13" s="422" t="s">
        <v>651</v>
      </c>
      <c r="Q13" s="423" t="s">
        <v>648</v>
      </c>
      <c r="R13" s="434" t="s">
        <v>649</v>
      </c>
      <c r="S13" s="431" t="s">
        <v>647</v>
      </c>
      <c r="T13" s="422" t="s">
        <v>651</v>
      </c>
      <c r="U13" s="423" t="s">
        <v>648</v>
      </c>
      <c r="V13" s="426" t="s">
        <v>649</v>
      </c>
      <c r="W13" s="429" t="s">
        <v>647</v>
      </c>
      <c r="X13" s="422" t="s">
        <v>651</v>
      </c>
      <c r="Y13" s="423" t="s">
        <v>648</v>
      </c>
      <c r="Z13" s="434" t="s">
        <v>649</v>
      </c>
      <c r="AA13" s="438" t="s">
        <v>661</v>
      </c>
      <c r="AB13" s="429" t="s">
        <v>647</v>
      </c>
      <c r="AC13" s="422" t="s">
        <v>651</v>
      </c>
      <c r="AD13" s="423" t="s">
        <v>648</v>
      </c>
      <c r="AE13" s="426" t="s">
        <v>649</v>
      </c>
      <c r="AF13" s="483"/>
    </row>
    <row r="14" spans="2:33" x14ac:dyDescent="0.35">
      <c r="B14" s="446" t="s">
        <v>642</v>
      </c>
      <c r="C14" s="447">
        <v>510.5</v>
      </c>
      <c r="D14" s="448">
        <v>0</v>
      </c>
      <c r="E14" s="448">
        <v>0</v>
      </c>
      <c r="F14" s="449">
        <v>0</v>
      </c>
      <c r="G14" s="447">
        <v>2320.39</v>
      </c>
      <c r="H14" s="448">
        <v>0</v>
      </c>
      <c r="I14" s="448">
        <v>0</v>
      </c>
      <c r="J14" s="449">
        <f>4218.88-G14-H14-I14</f>
        <v>1898.4900000000002</v>
      </c>
      <c r="K14" s="447"/>
      <c r="L14" s="448">
        <v>0</v>
      </c>
      <c r="M14" s="448"/>
      <c r="N14" s="449"/>
      <c r="O14" s="450"/>
      <c r="P14" s="448">
        <v>0</v>
      </c>
      <c r="Q14" s="448"/>
      <c r="R14" s="451"/>
      <c r="S14" s="447"/>
      <c r="T14" s="448">
        <v>0</v>
      </c>
      <c r="U14" s="448"/>
      <c r="V14" s="449"/>
      <c r="W14" s="450">
        <f>+S14+O14+K14+G14+C14</f>
        <v>2830.89</v>
      </c>
      <c r="X14" s="448">
        <f t="shared" ref="X14:Z14" si="0">+T14+P14+L14+H14+D14</f>
        <v>0</v>
      </c>
      <c r="Y14" s="448">
        <f t="shared" si="0"/>
        <v>0</v>
      </c>
      <c r="Z14" s="451">
        <f t="shared" si="0"/>
        <v>1898.4900000000002</v>
      </c>
      <c r="AA14" s="452">
        <f>SUM(W14:Z14)</f>
        <v>4729.38</v>
      </c>
      <c r="AB14" s="453">
        <f>+W14/$AA$14</f>
        <v>0.59857528893850775</v>
      </c>
      <c r="AC14" s="454">
        <f t="shared" ref="AC14:AE14" si="1">+X14/$AA$14</f>
        <v>0</v>
      </c>
      <c r="AD14" s="454">
        <f t="shared" si="1"/>
        <v>0</v>
      </c>
      <c r="AE14" s="455">
        <f t="shared" si="1"/>
        <v>0.40142471106149225</v>
      </c>
      <c r="AF14" s="484"/>
      <c r="AG14" s="485" t="s">
        <v>665</v>
      </c>
    </row>
    <row r="15" spans="2:33" x14ac:dyDescent="0.35">
      <c r="B15" s="428" t="s">
        <v>643</v>
      </c>
      <c r="C15" s="443">
        <v>510.5</v>
      </c>
      <c r="D15" s="444">
        <v>0</v>
      </c>
      <c r="E15" s="444">
        <v>0</v>
      </c>
      <c r="F15" s="445">
        <v>0</v>
      </c>
      <c r="G15" s="432">
        <v>2531</v>
      </c>
      <c r="H15" s="424">
        <v>620</v>
      </c>
      <c r="I15" s="424">
        <v>733</v>
      </c>
      <c r="J15" s="433">
        <f>4218.88-G15-H15-I15</f>
        <v>334.88000000000011</v>
      </c>
      <c r="K15" s="432"/>
      <c r="L15" s="424"/>
      <c r="M15" s="424"/>
      <c r="N15" s="433"/>
      <c r="O15" s="430"/>
      <c r="P15" s="424"/>
      <c r="Q15" s="424"/>
      <c r="R15" s="435"/>
      <c r="S15" s="432"/>
      <c r="T15" s="424"/>
      <c r="U15" s="424"/>
      <c r="V15" s="433"/>
      <c r="W15" s="430">
        <f t="shared" ref="W15:W18" si="2">+S15+O15+K15+G15+C15</f>
        <v>3041.5</v>
      </c>
      <c r="X15" s="424">
        <f t="shared" ref="X15:X18" si="3">+T15+P15+L15+H15+D15</f>
        <v>620</v>
      </c>
      <c r="Y15" s="424">
        <f t="shared" ref="Y15:Y18" si="4">+U15+Q15+M15+I15+E15</f>
        <v>733</v>
      </c>
      <c r="Z15" s="435">
        <f t="shared" ref="Z15:Z18" si="5">+V15+R15+N15+J15+F15</f>
        <v>334.88000000000011</v>
      </c>
      <c r="AA15" s="438">
        <f t="shared" ref="AA15:AA18" si="6">SUM(W15:Z15)</f>
        <v>4729.38</v>
      </c>
      <c r="AB15" s="436">
        <f>+W15/$AA$15</f>
        <v>0.64310755320993451</v>
      </c>
      <c r="AC15" s="425">
        <f t="shared" ref="AC15:AE15" si="7">+X15/$AA$15</f>
        <v>0.13109540785472937</v>
      </c>
      <c r="AD15" s="425">
        <f t="shared" si="7"/>
        <v>0.15498860315728488</v>
      </c>
      <c r="AE15" s="427">
        <f t="shared" si="7"/>
        <v>7.0808435778051265E-2</v>
      </c>
      <c r="AF15" s="484"/>
      <c r="AG15" s="485" t="s">
        <v>666</v>
      </c>
    </row>
    <row r="16" spans="2:33" x14ac:dyDescent="0.35">
      <c r="B16" s="446" t="s">
        <v>644</v>
      </c>
      <c r="C16" s="447">
        <v>510.5</v>
      </c>
      <c r="D16" s="448">
        <v>0</v>
      </c>
      <c r="E16" s="448">
        <v>0</v>
      </c>
      <c r="F16" s="449">
        <v>0</v>
      </c>
      <c r="G16" s="447">
        <v>1265.4000000000001</v>
      </c>
      <c r="H16" s="448">
        <v>500</v>
      </c>
      <c r="I16" s="448">
        <v>733</v>
      </c>
      <c r="J16" s="449">
        <f t="shared" ref="J16" si="8">4218.88-G16-H16-I16</f>
        <v>1720.48</v>
      </c>
      <c r="K16" s="447"/>
      <c r="L16" s="448"/>
      <c r="M16" s="448"/>
      <c r="N16" s="449"/>
      <c r="O16" s="450"/>
      <c r="P16" s="448"/>
      <c r="Q16" s="448"/>
      <c r="R16" s="451"/>
      <c r="S16" s="447"/>
      <c r="T16" s="448"/>
      <c r="U16" s="448"/>
      <c r="V16" s="449"/>
      <c r="W16" s="450">
        <f t="shared" si="2"/>
        <v>1775.9</v>
      </c>
      <c r="X16" s="448">
        <f t="shared" si="3"/>
        <v>500</v>
      </c>
      <c r="Y16" s="448">
        <f t="shared" si="4"/>
        <v>733</v>
      </c>
      <c r="Z16" s="451">
        <f t="shared" si="5"/>
        <v>1720.48</v>
      </c>
      <c r="AA16" s="452">
        <f t="shared" si="6"/>
        <v>4729.38</v>
      </c>
      <c r="AB16" s="453">
        <f>+W16/$AA$16</f>
        <v>0.37550376582131273</v>
      </c>
      <c r="AC16" s="454">
        <f t="shared" ref="AC16:AE16" si="9">+X16/$AA$16</f>
        <v>0.10572210310865272</v>
      </c>
      <c r="AD16" s="454">
        <f t="shared" si="9"/>
        <v>0.15498860315728488</v>
      </c>
      <c r="AE16" s="455">
        <f t="shared" si="9"/>
        <v>0.36378552791274965</v>
      </c>
      <c r="AF16" s="484"/>
      <c r="AG16" s="485" t="s">
        <v>667</v>
      </c>
    </row>
    <row r="17" spans="2:33" x14ac:dyDescent="0.35">
      <c r="B17" s="428" t="s">
        <v>645</v>
      </c>
      <c r="C17" s="443">
        <v>510.5</v>
      </c>
      <c r="D17" s="444">
        <v>0</v>
      </c>
      <c r="E17" s="444">
        <v>0</v>
      </c>
      <c r="F17" s="445">
        <v>0</v>
      </c>
      <c r="G17" s="432">
        <v>1200</v>
      </c>
      <c r="H17" s="424">
        <v>525</v>
      </c>
      <c r="I17" s="424">
        <v>1200</v>
      </c>
      <c r="J17" s="433">
        <f>4218.88-G17-H17-I17</f>
        <v>1293.8800000000001</v>
      </c>
      <c r="K17" s="432"/>
      <c r="L17" s="424"/>
      <c r="M17" s="424"/>
      <c r="N17" s="433"/>
      <c r="O17" s="430"/>
      <c r="P17" s="424"/>
      <c r="Q17" s="424"/>
      <c r="R17" s="435"/>
      <c r="S17" s="432"/>
      <c r="T17" s="424"/>
      <c r="U17" s="424"/>
      <c r="V17" s="433"/>
      <c r="W17" s="430">
        <f t="shared" si="2"/>
        <v>1710.5</v>
      </c>
      <c r="X17" s="424">
        <f t="shared" si="3"/>
        <v>525</v>
      </c>
      <c r="Y17" s="424">
        <f t="shared" si="4"/>
        <v>1200</v>
      </c>
      <c r="Z17" s="435">
        <f t="shared" si="5"/>
        <v>1293.8800000000001</v>
      </c>
      <c r="AA17" s="438">
        <f t="shared" si="6"/>
        <v>4729.38</v>
      </c>
      <c r="AB17" s="436">
        <f>+W17/$AA$17</f>
        <v>0.36167531473470094</v>
      </c>
      <c r="AC17" s="425">
        <f t="shared" ref="AC17:AE17" si="10">+X17/$AA$17</f>
        <v>0.11100820826408535</v>
      </c>
      <c r="AD17" s="425">
        <f t="shared" si="10"/>
        <v>0.25373304746076653</v>
      </c>
      <c r="AE17" s="427">
        <f t="shared" si="10"/>
        <v>0.27358342954044718</v>
      </c>
      <c r="AF17" s="484"/>
      <c r="AG17" s="485" t="s">
        <v>668</v>
      </c>
    </row>
    <row r="18" spans="2:33" ht="16" thickBot="1" x14ac:dyDescent="0.4">
      <c r="B18" s="456" t="s">
        <v>646</v>
      </c>
      <c r="C18" s="457">
        <v>0</v>
      </c>
      <c r="D18" s="458">
        <v>0</v>
      </c>
      <c r="E18" s="458">
        <v>0</v>
      </c>
      <c r="F18" s="459">
        <v>510.5</v>
      </c>
      <c r="G18" s="457">
        <v>900</v>
      </c>
      <c r="H18" s="458">
        <v>0</v>
      </c>
      <c r="I18" s="458">
        <v>733</v>
      </c>
      <c r="J18" s="459">
        <f>4218.88-G18-H18-I18</f>
        <v>2585.88</v>
      </c>
      <c r="K18" s="457"/>
      <c r="L18" s="458"/>
      <c r="M18" s="458"/>
      <c r="N18" s="459"/>
      <c r="O18" s="460"/>
      <c r="P18" s="458"/>
      <c r="Q18" s="458"/>
      <c r="R18" s="461"/>
      <c r="S18" s="457"/>
      <c r="T18" s="458"/>
      <c r="U18" s="458"/>
      <c r="V18" s="459"/>
      <c r="W18" s="460">
        <f t="shared" si="2"/>
        <v>900</v>
      </c>
      <c r="X18" s="458">
        <f t="shared" si="3"/>
        <v>0</v>
      </c>
      <c r="Y18" s="458">
        <f t="shared" si="4"/>
        <v>733</v>
      </c>
      <c r="Z18" s="461">
        <f t="shared" si="5"/>
        <v>3096.38</v>
      </c>
      <c r="AA18" s="462">
        <f t="shared" si="6"/>
        <v>4729.38</v>
      </c>
      <c r="AB18" s="463">
        <f>+W18/$AA$18</f>
        <v>0.19029978559557489</v>
      </c>
      <c r="AC18" s="464">
        <f t="shared" ref="AC18:AE18" si="11">+X18/$AA$18</f>
        <v>0</v>
      </c>
      <c r="AD18" s="464">
        <f t="shared" si="11"/>
        <v>0.15498860315728488</v>
      </c>
      <c r="AE18" s="465">
        <f t="shared" si="11"/>
        <v>0.65471161124714028</v>
      </c>
      <c r="AF18" s="484"/>
      <c r="AG18" s="485" t="s">
        <v>669</v>
      </c>
    </row>
    <row r="19" spans="2:33" x14ac:dyDescent="0.35">
      <c r="B19" s="487"/>
      <c r="C19" s="536" t="s">
        <v>672</v>
      </c>
      <c r="D19" s="536"/>
      <c r="E19" s="536"/>
      <c r="F19" s="536"/>
      <c r="G19" s="536" t="s">
        <v>673</v>
      </c>
      <c r="H19" s="536"/>
      <c r="I19" s="536"/>
      <c r="J19" s="536"/>
      <c r="K19" s="536" t="s">
        <v>674</v>
      </c>
      <c r="L19" s="536"/>
      <c r="M19" s="536"/>
      <c r="N19" s="536"/>
      <c r="O19" s="536" t="s">
        <v>674</v>
      </c>
      <c r="P19" s="536"/>
      <c r="Q19" s="536"/>
      <c r="R19" s="536"/>
      <c r="S19" s="536" t="s">
        <v>673</v>
      </c>
      <c r="T19" s="536"/>
      <c r="U19" s="536"/>
      <c r="V19" s="536"/>
      <c r="W19" s="488"/>
      <c r="X19" s="488"/>
      <c r="Y19" s="488"/>
      <c r="Z19" s="488">
        <f>SUM(Z14:Z18)</f>
        <v>8344.11</v>
      </c>
      <c r="AA19" s="489"/>
      <c r="AB19" s="490"/>
      <c r="AC19" s="490"/>
      <c r="AD19" s="490"/>
      <c r="AE19" s="490"/>
      <c r="AF19" s="484"/>
      <c r="AG19" s="485"/>
    </row>
    <row r="21" spans="2:33" x14ac:dyDescent="0.35">
      <c r="B21" s="466"/>
      <c r="C21" s="467"/>
      <c r="D21" s="467"/>
      <c r="E21" s="467"/>
      <c r="F21" s="467"/>
      <c r="G21" s="467"/>
      <c r="H21" s="467"/>
      <c r="I21" s="467"/>
      <c r="J21" s="467"/>
      <c r="K21" s="467"/>
      <c r="L21" s="468"/>
      <c r="N21" s="491" t="s">
        <v>684</v>
      </c>
      <c r="O21" s="491"/>
      <c r="P21" s="491"/>
    </row>
    <row r="22" spans="2:33" x14ac:dyDescent="0.35">
      <c r="B22" s="540" t="s">
        <v>664</v>
      </c>
      <c r="C22" s="541"/>
      <c r="D22" s="541"/>
      <c r="E22" s="541"/>
      <c r="F22" s="541"/>
      <c r="G22" s="541"/>
      <c r="H22" s="541"/>
      <c r="I22" s="541"/>
      <c r="J22" s="541"/>
      <c r="K22" s="541"/>
      <c r="L22" s="542"/>
      <c r="N22" s="492">
        <f>+J14+J15+J16+J17+J18+F18</f>
        <v>8344.11</v>
      </c>
      <c r="O22" s="53" t="s">
        <v>685</v>
      </c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</row>
    <row r="23" spans="2:33" x14ac:dyDescent="0.35">
      <c r="B23" s="471"/>
      <c r="C23" s="472"/>
      <c r="D23" s="472"/>
      <c r="E23" s="472"/>
      <c r="F23" s="472"/>
      <c r="G23" s="472"/>
      <c r="H23" s="472"/>
      <c r="I23" s="472"/>
      <c r="J23" s="472"/>
      <c r="K23" s="472"/>
      <c r="L23" s="470"/>
      <c r="N23" s="53"/>
      <c r="O23" s="53" t="s">
        <v>686</v>
      </c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</row>
    <row r="24" spans="2:33" x14ac:dyDescent="0.35">
      <c r="B24" s="473" t="s">
        <v>96</v>
      </c>
      <c r="C24" s="527" t="s">
        <v>663</v>
      </c>
      <c r="D24" s="528"/>
      <c r="E24" s="528"/>
      <c r="F24" s="528"/>
      <c r="G24" s="528"/>
      <c r="H24" s="528"/>
      <c r="I24" s="528"/>
      <c r="J24" s="528"/>
      <c r="K24" s="537" t="s">
        <v>97</v>
      </c>
      <c r="L24" s="538"/>
      <c r="N24" s="53"/>
      <c r="O24" s="53" t="s">
        <v>687</v>
      </c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</row>
    <row r="25" spans="2:33" x14ac:dyDescent="0.35">
      <c r="B25" s="474" t="s">
        <v>609</v>
      </c>
      <c r="C25" s="525" t="s">
        <v>513</v>
      </c>
      <c r="D25" s="526"/>
      <c r="E25" s="526"/>
      <c r="F25" s="526"/>
      <c r="G25" s="526"/>
      <c r="H25" s="526"/>
      <c r="I25" s="526"/>
      <c r="J25" s="526"/>
      <c r="K25" s="529">
        <v>2763.1</v>
      </c>
      <c r="L25" s="530"/>
    </row>
    <row r="26" spans="2:33" x14ac:dyDescent="0.35">
      <c r="B26" s="475" t="s">
        <v>609</v>
      </c>
      <c r="C26" s="525" t="s">
        <v>515</v>
      </c>
      <c r="D26" s="526"/>
      <c r="E26" s="526"/>
      <c r="F26" s="526"/>
      <c r="G26" s="526"/>
      <c r="H26" s="526"/>
      <c r="I26" s="526"/>
      <c r="J26" s="539"/>
      <c r="K26" s="529">
        <v>3573.5</v>
      </c>
      <c r="L26" s="530"/>
    </row>
    <row r="27" spans="2:33" x14ac:dyDescent="0.35">
      <c r="B27" s="486">
        <v>45224</v>
      </c>
      <c r="C27" s="525" t="s">
        <v>677</v>
      </c>
      <c r="D27" s="526"/>
      <c r="E27" s="526"/>
      <c r="F27" s="526"/>
      <c r="G27" s="526"/>
      <c r="H27" s="526"/>
      <c r="I27" s="526"/>
      <c r="J27" s="539"/>
      <c r="K27" s="529">
        <v>-27933.599999999999</v>
      </c>
      <c r="L27" s="530"/>
    </row>
    <row r="28" spans="2:33" x14ac:dyDescent="0.35">
      <c r="B28" s="486">
        <v>45275</v>
      </c>
      <c r="C28" s="525" t="s">
        <v>670</v>
      </c>
      <c r="D28" s="526"/>
      <c r="E28" s="526"/>
      <c r="F28" s="526"/>
      <c r="G28" s="526"/>
      <c r="H28" s="526"/>
      <c r="I28" s="526"/>
      <c r="J28" s="539"/>
      <c r="K28" s="529">
        <v>-5000</v>
      </c>
      <c r="L28" s="530"/>
    </row>
    <row r="29" spans="2:33" x14ac:dyDescent="0.35">
      <c r="B29" s="486">
        <v>45290</v>
      </c>
      <c r="C29" s="525" t="s">
        <v>678</v>
      </c>
      <c r="D29" s="526"/>
      <c r="E29" s="526"/>
      <c r="F29" s="526"/>
      <c r="G29" s="526"/>
      <c r="H29" s="526"/>
      <c r="I29" s="526"/>
      <c r="J29" s="539"/>
      <c r="K29" s="529">
        <v>-4589.2</v>
      </c>
      <c r="L29" s="530"/>
    </row>
    <row r="30" spans="2:33" x14ac:dyDescent="0.35">
      <c r="B30" s="486" t="s">
        <v>681</v>
      </c>
      <c r="C30" s="525" t="s">
        <v>682</v>
      </c>
      <c r="D30" s="526"/>
      <c r="E30" s="526"/>
      <c r="F30" s="526"/>
      <c r="G30" s="526"/>
      <c r="H30" s="526"/>
      <c r="I30" s="526"/>
      <c r="J30" s="539"/>
      <c r="K30" s="529">
        <f>510.5+2320.39+2498.4+4218.88+4219+1200+4218.88+600+3884+1200+525+400+733+500</f>
        <v>27028.05</v>
      </c>
      <c r="L30" s="530"/>
    </row>
    <row r="31" spans="2:33" x14ac:dyDescent="0.35">
      <c r="B31" s="486">
        <v>44928</v>
      </c>
      <c r="C31" s="525" t="s">
        <v>679</v>
      </c>
      <c r="D31" s="526"/>
      <c r="E31" s="526"/>
      <c r="F31" s="526"/>
      <c r="G31" s="526"/>
      <c r="H31" s="526"/>
      <c r="I31" s="526"/>
      <c r="J31" s="539"/>
      <c r="K31" s="529">
        <v>-32589.200000000001</v>
      </c>
      <c r="L31" s="530"/>
    </row>
    <row r="32" spans="2:33" x14ac:dyDescent="0.35">
      <c r="B32" s="486">
        <v>44935</v>
      </c>
      <c r="C32" s="525" t="s">
        <v>680</v>
      </c>
      <c r="D32" s="526"/>
      <c r="E32" s="526"/>
      <c r="F32" s="526"/>
      <c r="G32" s="526"/>
      <c r="H32" s="526"/>
      <c r="I32" s="526"/>
      <c r="J32" s="539"/>
      <c r="K32" s="529">
        <v>-28000</v>
      </c>
      <c r="L32" s="530"/>
    </row>
    <row r="33" spans="2:12" x14ac:dyDescent="0.35">
      <c r="B33" s="486">
        <v>44945</v>
      </c>
      <c r="C33" s="525" t="s">
        <v>683</v>
      </c>
      <c r="D33" s="526"/>
      <c r="E33" s="526"/>
      <c r="F33" s="526"/>
      <c r="G33" s="526"/>
      <c r="H33" s="526"/>
      <c r="I33" s="526"/>
      <c r="J33" s="539"/>
      <c r="K33" s="529">
        <v>47104.72</v>
      </c>
      <c r="L33" s="530"/>
    </row>
    <row r="34" spans="2:12" x14ac:dyDescent="0.35">
      <c r="B34" s="475"/>
      <c r="C34" s="525"/>
      <c r="D34" s="526"/>
      <c r="E34" s="526"/>
      <c r="F34" s="526"/>
      <c r="G34" s="526"/>
      <c r="H34" s="526"/>
      <c r="I34" s="526"/>
      <c r="J34" s="539"/>
      <c r="K34" s="529"/>
      <c r="L34" s="530"/>
    </row>
    <row r="35" spans="2:12" x14ac:dyDescent="0.35">
      <c r="B35" s="475"/>
      <c r="C35" s="525"/>
      <c r="D35" s="526"/>
      <c r="E35" s="526"/>
      <c r="F35" s="526"/>
      <c r="G35" s="526"/>
      <c r="H35" s="526"/>
      <c r="I35" s="526"/>
      <c r="J35" s="539"/>
      <c r="K35" s="529"/>
      <c r="L35" s="530"/>
    </row>
    <row r="36" spans="2:12" x14ac:dyDescent="0.35">
      <c r="B36" s="475"/>
      <c r="C36" s="525"/>
      <c r="D36" s="526"/>
      <c r="E36" s="526"/>
      <c r="F36" s="526"/>
      <c r="G36" s="526"/>
      <c r="H36" s="526"/>
      <c r="I36" s="526"/>
      <c r="J36" s="539"/>
      <c r="K36" s="529"/>
      <c r="L36" s="530"/>
    </row>
    <row r="37" spans="2:12" x14ac:dyDescent="0.35">
      <c r="B37" s="475"/>
      <c r="C37" s="525"/>
      <c r="D37" s="526"/>
      <c r="E37" s="526"/>
      <c r="F37" s="526"/>
      <c r="G37" s="526"/>
      <c r="H37" s="526"/>
      <c r="I37" s="526"/>
      <c r="J37" s="539"/>
      <c r="K37" s="529"/>
      <c r="L37" s="530"/>
    </row>
    <row r="38" spans="2:12" x14ac:dyDescent="0.35">
      <c r="B38" s="475"/>
      <c r="C38" s="525"/>
      <c r="D38" s="526"/>
      <c r="E38" s="526"/>
      <c r="F38" s="526"/>
      <c r="G38" s="526"/>
      <c r="H38" s="526"/>
      <c r="I38" s="526"/>
      <c r="J38" s="539"/>
      <c r="K38" s="529">
        <f>SUM(K25:L37)</f>
        <v>-17642.630000000005</v>
      </c>
      <c r="L38" s="530"/>
    </row>
    <row r="39" spans="2:12" x14ac:dyDescent="0.35">
      <c r="B39" s="476"/>
      <c r="C39" s="477"/>
      <c r="D39" s="477"/>
      <c r="E39" s="477"/>
      <c r="F39" s="477"/>
      <c r="G39" s="477"/>
      <c r="H39" s="477"/>
      <c r="I39" s="477"/>
      <c r="J39" s="477"/>
      <c r="K39" s="477"/>
      <c r="L39" s="478"/>
    </row>
  </sheetData>
  <mergeCells count="44">
    <mergeCell ref="C37:J37"/>
    <mergeCell ref="K37:L37"/>
    <mergeCell ref="C38:J38"/>
    <mergeCell ref="K38:L38"/>
    <mergeCell ref="B22:L22"/>
    <mergeCell ref="C34:J34"/>
    <mergeCell ref="K34:L34"/>
    <mergeCell ref="C35:J35"/>
    <mergeCell ref="K35:L35"/>
    <mergeCell ref="C36:J36"/>
    <mergeCell ref="K36:L36"/>
    <mergeCell ref="C31:J31"/>
    <mergeCell ref="K31:L31"/>
    <mergeCell ref="C32:J32"/>
    <mergeCell ref="K32:L32"/>
    <mergeCell ref="C33:J33"/>
    <mergeCell ref="K33:L33"/>
    <mergeCell ref="K24:L24"/>
    <mergeCell ref="C26:J26"/>
    <mergeCell ref="C28:J28"/>
    <mergeCell ref="K28:L28"/>
    <mergeCell ref="C29:J29"/>
    <mergeCell ref="K29:L29"/>
    <mergeCell ref="K26:L26"/>
    <mergeCell ref="C27:J27"/>
    <mergeCell ref="K27:L27"/>
    <mergeCell ref="C30:J30"/>
    <mergeCell ref="K30:L30"/>
    <mergeCell ref="AB12:AE12"/>
    <mergeCell ref="B12:B13"/>
    <mergeCell ref="C25:J25"/>
    <mergeCell ref="C24:J24"/>
    <mergeCell ref="K25:L25"/>
    <mergeCell ref="C12:F12"/>
    <mergeCell ref="G12:J12"/>
    <mergeCell ref="K12:N12"/>
    <mergeCell ref="O12:R12"/>
    <mergeCell ref="S12:V12"/>
    <mergeCell ref="W12:Z12"/>
    <mergeCell ref="C19:F19"/>
    <mergeCell ref="G19:J19"/>
    <mergeCell ref="K19:N19"/>
    <mergeCell ref="O19:R19"/>
    <mergeCell ref="S19:V19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A14:AA18" formula="1"/>
  </ignoredError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1B8F1-C754-4F6C-A44E-7E88D1180C21}">
  <sheetPr>
    <tabColor rgb="FFFFFF00"/>
  </sheetPr>
  <dimension ref="B1:L48"/>
  <sheetViews>
    <sheetView topLeftCell="A5" zoomScale="54" zoomScaleNormal="160" workbookViewId="0">
      <selection activeCell="H48" sqref="H48:I48"/>
    </sheetView>
  </sheetViews>
  <sheetFormatPr defaultRowHeight="15.5" x14ac:dyDescent="0.35"/>
  <cols>
    <col min="1" max="1" width="3.5" style="174" customWidth="1"/>
    <col min="2" max="2" width="18.75" style="174" customWidth="1"/>
    <col min="3" max="3" width="14.33203125" style="174" customWidth="1"/>
    <col min="4" max="4" width="3.75" style="174" customWidth="1"/>
    <col min="5" max="5" width="46.58203125" style="174" customWidth="1"/>
    <col min="6" max="6" width="14.33203125" style="174" bestFit="1" customWidth="1"/>
    <col min="7" max="7" width="15.25" style="174" bestFit="1" customWidth="1"/>
    <col min="8" max="8" width="20.58203125" style="174" bestFit="1" customWidth="1"/>
    <col min="9" max="9" width="6" style="253" bestFit="1" customWidth="1"/>
    <col min="10" max="10" width="8.6640625" style="244" customWidth="1"/>
    <col min="11" max="11" width="8.6640625" style="174"/>
    <col min="12" max="12" width="13.25" style="174" bestFit="1" customWidth="1"/>
    <col min="13" max="16384" width="8.6640625" style="174"/>
  </cols>
  <sheetData>
    <row r="1" spans="2:10" ht="16" thickBot="1" x14ac:dyDescent="0.4"/>
    <row r="2" spans="2:10" x14ac:dyDescent="0.35">
      <c r="B2" s="175" t="s">
        <v>445</v>
      </c>
      <c r="C2" s="248">
        <v>23085.91</v>
      </c>
      <c r="E2" s="180" t="s">
        <v>448</v>
      </c>
      <c r="F2" s="181" t="s">
        <v>449</v>
      </c>
      <c r="G2" s="181" t="s">
        <v>450</v>
      </c>
      <c r="H2" s="182" t="s">
        <v>451</v>
      </c>
      <c r="I2" s="249" t="s">
        <v>503</v>
      </c>
      <c r="J2" s="245" t="s">
        <v>476</v>
      </c>
    </row>
    <row r="3" spans="2:10" x14ac:dyDescent="0.35">
      <c r="B3" s="176"/>
      <c r="C3" s="177"/>
      <c r="E3" s="183" t="s">
        <v>447</v>
      </c>
      <c r="F3" s="184">
        <f>+'Orçado x Realizado'!D88</f>
        <v>132353</v>
      </c>
      <c r="G3" s="199">
        <f>+'Orçado x Realizado'!E88</f>
        <v>60673.009999999995</v>
      </c>
      <c r="H3" s="200">
        <f>+G3*3</f>
        <v>182019.02999999997</v>
      </c>
      <c r="I3" s="254">
        <f>+H3/$H$6</f>
        <v>0.64264994774601725</v>
      </c>
      <c r="J3" s="244" t="s">
        <v>477</v>
      </c>
    </row>
    <row r="4" spans="2:10" x14ac:dyDescent="0.35">
      <c r="B4" s="176"/>
      <c r="C4" s="177"/>
      <c r="E4" s="183" t="s">
        <v>456</v>
      </c>
      <c r="F4" s="184">
        <f>+'Orçado x Realizado'!D93</f>
        <v>6801.11</v>
      </c>
      <c r="G4" s="199">
        <f>+'Orçado x Realizado'!E93</f>
        <v>8667.4500000000007</v>
      </c>
      <c r="H4" s="200">
        <v>0</v>
      </c>
      <c r="I4" s="254">
        <f t="shared" ref="I4:I5" si="0">+H4/$H$6</f>
        <v>0</v>
      </c>
      <c r="J4" s="244" t="s">
        <v>478</v>
      </c>
    </row>
    <row r="5" spans="2:10" ht="16" thickBot="1" x14ac:dyDescent="0.4">
      <c r="B5" s="176"/>
      <c r="C5" s="177"/>
      <c r="E5" s="185" t="s">
        <v>470</v>
      </c>
      <c r="F5" s="186">
        <v>0</v>
      </c>
      <c r="G5" s="201">
        <v>0</v>
      </c>
      <c r="H5" s="202">
        <f>+C11+C2-H29</f>
        <v>101212.97</v>
      </c>
      <c r="I5" s="254">
        <f t="shared" si="0"/>
        <v>0.35735005225398259</v>
      </c>
      <c r="J5" s="244" t="s">
        <v>479</v>
      </c>
    </row>
    <row r="6" spans="2:10" ht="16.5" thickTop="1" thickBot="1" x14ac:dyDescent="0.4">
      <c r="B6" s="176"/>
      <c r="C6" s="177"/>
      <c r="E6" s="187" t="s">
        <v>452</v>
      </c>
      <c r="F6" s="188">
        <f>SUM(F3:F5)</f>
        <v>139154.10999999999</v>
      </c>
      <c r="G6" s="188">
        <f>SUM(G3:G5)</f>
        <v>69340.459999999992</v>
      </c>
      <c r="H6" s="203">
        <f>SUM(H3:H5)</f>
        <v>283232</v>
      </c>
      <c r="I6" s="258">
        <f>+H6/(H6+H30)</f>
        <v>0.66828370534660941</v>
      </c>
      <c r="J6" s="244" t="s">
        <v>504</v>
      </c>
    </row>
    <row r="7" spans="2:10" ht="5.5" customHeight="1" thickBot="1" x14ac:dyDescent="0.4">
      <c r="B7" s="176"/>
      <c r="C7" s="177"/>
      <c r="E7" s="189"/>
      <c r="F7" s="189"/>
      <c r="G7" s="189"/>
      <c r="H7" s="189"/>
    </row>
    <row r="8" spans="2:10" x14ac:dyDescent="0.35">
      <c r="B8" s="176"/>
      <c r="C8" s="177"/>
      <c r="E8" s="190" t="s">
        <v>454</v>
      </c>
      <c r="F8" s="191" t="s">
        <v>449</v>
      </c>
      <c r="G8" s="191" t="s">
        <v>450</v>
      </c>
      <c r="H8" s="192" t="s">
        <v>451</v>
      </c>
      <c r="I8" s="250" t="s">
        <v>503</v>
      </c>
    </row>
    <row r="9" spans="2:10" ht="16" thickBot="1" x14ac:dyDescent="0.4">
      <c r="B9" s="178"/>
      <c r="C9" s="179"/>
      <c r="E9" s="193" t="s">
        <v>27</v>
      </c>
      <c r="F9" s="194">
        <v>-1192</v>
      </c>
      <c r="G9" s="205">
        <v>-1212</v>
      </c>
      <c r="H9" s="206">
        <f>-1212*1.1</f>
        <v>-1333.2</v>
      </c>
      <c r="I9" s="255">
        <f>+H9/$H$22</f>
        <v>7.3082856114854424E-3</v>
      </c>
      <c r="J9" s="244" t="s">
        <v>480</v>
      </c>
    </row>
    <row r="10" spans="2:10" ht="16" thickBot="1" x14ac:dyDescent="0.4">
      <c r="E10" s="193" t="s">
        <v>28</v>
      </c>
      <c r="F10" s="194">
        <v>-15026</v>
      </c>
      <c r="G10" s="205">
        <v>-11002.04</v>
      </c>
      <c r="H10" s="206">
        <f>+G10*1.1</f>
        <v>-12102.244000000002</v>
      </c>
      <c r="I10" s="255">
        <f t="shared" ref="I10:I21" si="1">+H10/$H$22</f>
        <v>6.6341625931507678E-2</v>
      </c>
      <c r="J10" s="244" t="s">
        <v>480</v>
      </c>
    </row>
    <row r="11" spans="2:10" x14ac:dyDescent="0.35">
      <c r="B11" s="175" t="s">
        <v>446</v>
      </c>
      <c r="C11" s="248">
        <v>161127.06</v>
      </c>
      <c r="E11" s="193" t="s">
        <v>465</v>
      </c>
      <c r="F11" s="194">
        <v>0</v>
      </c>
      <c r="G11" s="205">
        <v>0</v>
      </c>
      <c r="H11" s="206">
        <v>-40000</v>
      </c>
      <c r="I11" s="255">
        <f t="shared" si="1"/>
        <v>0.21927049539410268</v>
      </c>
      <c r="J11" s="244" t="s">
        <v>481</v>
      </c>
    </row>
    <row r="12" spans="2:10" x14ac:dyDescent="0.35">
      <c r="B12" s="176"/>
      <c r="C12" s="177"/>
      <c r="E12" s="193" t="s">
        <v>439</v>
      </c>
      <c r="F12" s="194">
        <f>-2454.33-480</f>
        <v>-2934.33</v>
      </c>
      <c r="G12" s="205">
        <v>-261.47000000000003</v>
      </c>
      <c r="H12" s="206">
        <v>-10000</v>
      </c>
      <c r="I12" s="255">
        <f t="shared" si="1"/>
        <v>5.4817623848525669E-2</v>
      </c>
      <c r="J12" s="244" t="s">
        <v>489</v>
      </c>
    </row>
    <row r="13" spans="2:10" x14ac:dyDescent="0.35">
      <c r="B13" s="176"/>
      <c r="C13" s="177"/>
      <c r="E13" s="193" t="s">
        <v>414</v>
      </c>
      <c r="F13" s="194">
        <v>-1100</v>
      </c>
      <c r="G13" s="205">
        <v>-577.62</v>
      </c>
      <c r="H13" s="206">
        <f>+G13*3</f>
        <v>-1732.8600000000001</v>
      </c>
      <c r="I13" s="255">
        <f t="shared" si="1"/>
        <v>9.4991267662156206E-3</v>
      </c>
      <c r="J13" s="244" t="s">
        <v>477</v>
      </c>
    </row>
    <row r="14" spans="2:10" x14ac:dyDescent="0.35">
      <c r="B14" s="176"/>
      <c r="C14" s="177"/>
      <c r="E14" s="193" t="s">
        <v>19</v>
      </c>
      <c r="F14" s="194">
        <v>-8268</v>
      </c>
      <c r="G14" s="205">
        <v>-3600</v>
      </c>
      <c r="H14" s="206">
        <f>+G14*3</f>
        <v>-10800</v>
      </c>
      <c r="I14" s="255">
        <f t="shared" si="1"/>
        <v>5.9203033756407723E-2</v>
      </c>
      <c r="J14" s="244" t="s">
        <v>477</v>
      </c>
    </row>
    <row r="15" spans="2:10" ht="16" thickBot="1" x14ac:dyDescent="0.4">
      <c r="B15" s="178"/>
      <c r="C15" s="179"/>
      <c r="E15" s="193" t="s">
        <v>20</v>
      </c>
      <c r="F15" s="194">
        <v>-4185</v>
      </c>
      <c r="G15" s="205">
        <v>-1864.3400000000001</v>
      </c>
      <c r="H15" s="206">
        <v>-500</v>
      </c>
      <c r="I15" s="255">
        <f t="shared" si="1"/>
        <v>2.7408811924262834E-3</v>
      </c>
      <c r="J15" s="244" t="s">
        <v>482</v>
      </c>
    </row>
    <row r="16" spans="2:10" x14ac:dyDescent="0.35">
      <c r="E16" s="193" t="s">
        <v>22</v>
      </c>
      <c r="F16" s="194">
        <v>-390.76</v>
      </c>
      <c r="G16" s="205">
        <v>-1886.8799999999999</v>
      </c>
      <c r="H16" s="206">
        <v>-500</v>
      </c>
      <c r="I16" s="255">
        <f t="shared" si="1"/>
        <v>2.7408811924262834E-3</v>
      </c>
      <c r="J16" s="244" t="s">
        <v>483</v>
      </c>
    </row>
    <row r="17" spans="5:12" x14ac:dyDescent="0.35">
      <c r="E17" s="193" t="s">
        <v>32</v>
      </c>
      <c r="F17" s="194">
        <v>-11600</v>
      </c>
      <c r="G17" s="205">
        <v>0</v>
      </c>
      <c r="H17" s="206">
        <f>+F17</f>
        <v>-11600</v>
      </c>
      <c r="I17" s="255">
        <f t="shared" si="1"/>
        <v>6.358844366428977E-2</v>
      </c>
      <c r="J17" s="244" t="s">
        <v>484</v>
      </c>
    </row>
    <row r="18" spans="5:12" x14ac:dyDescent="0.35">
      <c r="E18" s="193" t="s">
        <v>44</v>
      </c>
      <c r="F18" s="194">
        <f>+'Orçado x Realizado'!J26</f>
        <v>-40148.3293185</v>
      </c>
      <c r="G18" s="205">
        <v>-16169.41</v>
      </c>
      <c r="H18" s="206">
        <f>+G18*3</f>
        <v>-48508.229999999996</v>
      </c>
      <c r="I18" s="255">
        <f t="shared" si="1"/>
        <v>0.26591059056977678</v>
      </c>
      <c r="J18" s="244" t="s">
        <v>477</v>
      </c>
    </row>
    <row r="19" spans="5:12" x14ac:dyDescent="0.35">
      <c r="E19" s="193" t="s">
        <v>25</v>
      </c>
      <c r="F19" s="194">
        <v>-9754.5499999999993</v>
      </c>
      <c r="G19" s="205">
        <v>-8567.09</v>
      </c>
      <c r="H19" s="206">
        <f>+G19</f>
        <v>-8567.09</v>
      </c>
      <c r="I19" s="255">
        <f t="shared" si="1"/>
        <v>4.6962751709646582E-2</v>
      </c>
      <c r="J19" s="244" t="s">
        <v>485</v>
      </c>
    </row>
    <row r="20" spans="5:12" x14ac:dyDescent="0.35">
      <c r="E20" s="193" t="s">
        <v>24</v>
      </c>
      <c r="F20" s="194">
        <f>-5679-4699</f>
        <v>-10378</v>
      </c>
      <c r="G20" s="205">
        <v>-49.86</v>
      </c>
      <c r="H20" s="206">
        <f>+F20*1.5</f>
        <v>-15567</v>
      </c>
      <c r="I20" s="255">
        <f t="shared" si="1"/>
        <v>8.5334595044999906E-2</v>
      </c>
      <c r="J20" s="244" t="s">
        <v>486</v>
      </c>
      <c r="L20" s="234"/>
    </row>
    <row r="21" spans="5:12" ht="16" thickBot="1" x14ac:dyDescent="0.4">
      <c r="E21" s="195" t="s">
        <v>93</v>
      </c>
      <c r="F21" s="196">
        <v>-4400</v>
      </c>
      <c r="G21" s="196">
        <v>-7070.82</v>
      </c>
      <c r="H21" s="207">
        <f>+G21*3</f>
        <v>-21212.46</v>
      </c>
      <c r="I21" s="255">
        <f t="shared" si="1"/>
        <v>0.11628166531818968</v>
      </c>
      <c r="J21" s="244" t="s">
        <v>477</v>
      </c>
      <c r="L21" s="234"/>
    </row>
    <row r="22" spans="5:12" ht="16.5" thickTop="1" thickBot="1" x14ac:dyDescent="0.4">
      <c r="E22" s="197" t="s">
        <v>453</v>
      </c>
      <c r="F22" s="198">
        <f>SUM(F9:F21)</f>
        <v>-109376.96931850001</v>
      </c>
      <c r="G22" s="198">
        <f>SUM(G9:G21)</f>
        <v>-52261.530000000006</v>
      </c>
      <c r="H22" s="204">
        <f>SUM(H9:H21)</f>
        <v>-182423.08399999997</v>
      </c>
      <c r="I22" s="259">
        <f>+H22/(H22+H44)</f>
        <v>0.44064805580654098</v>
      </c>
      <c r="J22" s="244" t="s">
        <v>508</v>
      </c>
      <c r="L22" s="234"/>
    </row>
    <row r="23" spans="5:12" ht="5.5" customHeight="1" thickBot="1" x14ac:dyDescent="0.4">
      <c r="L23" s="234"/>
    </row>
    <row r="24" spans="5:12" ht="16" thickBot="1" x14ac:dyDescent="0.4">
      <c r="E24" s="239" t="s">
        <v>471</v>
      </c>
      <c r="F24" s="240">
        <f>+F6+F22</f>
        <v>29777.140681499979</v>
      </c>
      <c r="G24" s="240">
        <f>+G6+G22</f>
        <v>17078.929999999986</v>
      </c>
      <c r="H24" s="247">
        <f>+H6+H22</f>
        <v>100808.91600000003</v>
      </c>
      <c r="I24" s="244"/>
      <c r="L24" s="234"/>
    </row>
    <row r="25" spans="5:12" ht="16" thickBot="1" x14ac:dyDescent="0.4">
      <c r="L25" s="234"/>
    </row>
    <row r="26" spans="5:12" x14ac:dyDescent="0.35">
      <c r="E26" s="208" t="s">
        <v>455</v>
      </c>
      <c r="F26" s="209" t="s">
        <v>449</v>
      </c>
      <c r="G26" s="209" t="s">
        <v>450</v>
      </c>
      <c r="H26" s="210" t="s">
        <v>451</v>
      </c>
      <c r="I26" s="251" t="s">
        <v>503</v>
      </c>
      <c r="L26" s="234"/>
    </row>
    <row r="27" spans="5:12" x14ac:dyDescent="0.35">
      <c r="E27" s="211" t="s">
        <v>17</v>
      </c>
      <c r="F27" s="212">
        <f>+'Orçado x Realizado'!D92</f>
        <v>28794</v>
      </c>
      <c r="G27" s="212">
        <f>+'Orçado x Realizado'!E92</f>
        <v>0</v>
      </c>
      <c r="H27" s="213">
        <f>+F27*2</f>
        <v>57588</v>
      </c>
      <c r="I27" s="256">
        <f>+H27/$H$30</f>
        <v>0.40962244288274957</v>
      </c>
      <c r="J27" s="244" t="s">
        <v>487</v>
      </c>
      <c r="L27" s="234"/>
    </row>
    <row r="28" spans="5:12" x14ac:dyDescent="0.35">
      <c r="E28" s="211" t="s">
        <v>15</v>
      </c>
      <c r="F28" s="212">
        <v>0</v>
      </c>
      <c r="G28" s="212">
        <v>200</v>
      </c>
      <c r="H28" s="213">
        <f>+F28*2</f>
        <v>0</v>
      </c>
      <c r="I28" s="256">
        <f t="shared" ref="I28:I29" si="2">+H28/$H$30</f>
        <v>0</v>
      </c>
      <c r="J28" s="244" t="s">
        <v>488</v>
      </c>
      <c r="L28" s="234"/>
    </row>
    <row r="29" spans="5:12" ht="16" thickBot="1" x14ac:dyDescent="0.4">
      <c r="E29" s="214" t="s">
        <v>469</v>
      </c>
      <c r="F29" s="215">
        <v>0</v>
      </c>
      <c r="G29" s="215">
        <v>0</v>
      </c>
      <c r="H29" s="216">
        <v>83000</v>
      </c>
      <c r="I29" s="256">
        <f t="shared" si="2"/>
        <v>0.59037755711725037</v>
      </c>
      <c r="L29" s="234"/>
    </row>
    <row r="30" spans="5:12" ht="16.5" thickTop="1" thickBot="1" x14ac:dyDescent="0.4">
      <c r="E30" s="217" t="s">
        <v>457</v>
      </c>
      <c r="F30" s="218">
        <f>SUM(F26:F29)</f>
        <v>28794</v>
      </c>
      <c r="G30" s="218">
        <f t="shared" ref="G30" si="3">SUM(G26:G29)</f>
        <v>200</v>
      </c>
      <c r="H30" s="219">
        <f t="shared" ref="H30" si="4">SUM(H26:H29)</f>
        <v>140588</v>
      </c>
      <c r="I30" s="261">
        <f>+H30/(H30+H6)</f>
        <v>0.33171629465339059</v>
      </c>
      <c r="J30" s="244" t="s">
        <v>506</v>
      </c>
      <c r="L30" s="234"/>
    </row>
    <row r="31" spans="5:12" ht="5.5" customHeight="1" thickBot="1" x14ac:dyDescent="0.4">
      <c r="E31" s="189"/>
      <c r="F31" s="189"/>
      <c r="G31" s="189"/>
      <c r="H31" s="189"/>
      <c r="L31" s="234"/>
    </row>
    <row r="32" spans="5:12" x14ac:dyDescent="0.35">
      <c r="E32" s="220" t="s">
        <v>458</v>
      </c>
      <c r="F32" s="221" t="s">
        <v>449</v>
      </c>
      <c r="G32" s="221" t="s">
        <v>450</v>
      </c>
      <c r="H32" s="222" t="s">
        <v>451</v>
      </c>
      <c r="I32" s="252" t="s">
        <v>503</v>
      </c>
      <c r="L32" s="234"/>
    </row>
    <row r="33" spans="5:12" x14ac:dyDescent="0.35">
      <c r="E33" s="223" t="s">
        <v>466</v>
      </c>
      <c r="F33" s="224">
        <v>0</v>
      </c>
      <c r="G33" s="225">
        <v>0</v>
      </c>
      <c r="H33" s="226">
        <v>-60000</v>
      </c>
      <c r="I33" s="257">
        <f>+H33/$H$44</f>
        <v>0.25910641366537596</v>
      </c>
      <c r="J33" s="244" t="s">
        <v>474</v>
      </c>
      <c r="L33" s="234"/>
    </row>
    <row r="34" spans="5:12" x14ac:dyDescent="0.35">
      <c r="E34" s="223" t="s">
        <v>460</v>
      </c>
      <c r="F34" s="224">
        <v>0</v>
      </c>
      <c r="G34" s="225">
        <v>-2707.5</v>
      </c>
      <c r="H34" s="226">
        <f>-8000*5</f>
        <v>-40000</v>
      </c>
      <c r="I34" s="257">
        <f t="shared" ref="I34:I43" si="5">+H34/$H$44</f>
        <v>0.17273760911025063</v>
      </c>
      <c r="J34" s="244" t="s">
        <v>475</v>
      </c>
      <c r="L34" s="234"/>
    </row>
    <row r="35" spans="5:12" x14ac:dyDescent="0.35">
      <c r="E35" s="223" t="s">
        <v>459</v>
      </c>
      <c r="F35" s="224">
        <v>0</v>
      </c>
      <c r="G35" s="225">
        <f>-1845-10266.23</f>
        <v>-12111.23</v>
      </c>
      <c r="H35" s="226">
        <v>-12000</v>
      </c>
      <c r="I35" s="257">
        <f t="shared" si="5"/>
        <v>5.1821282733075187E-2</v>
      </c>
      <c r="J35" s="244" t="s">
        <v>490</v>
      </c>
      <c r="L35" s="234"/>
    </row>
    <row r="36" spans="5:12" x14ac:dyDescent="0.35">
      <c r="E36" s="223" t="s">
        <v>464</v>
      </c>
      <c r="F36" s="224">
        <v>-12000</v>
      </c>
      <c r="G36" s="225">
        <v>0</v>
      </c>
      <c r="H36" s="226">
        <v>-24000</v>
      </c>
      <c r="I36" s="257">
        <f t="shared" si="5"/>
        <v>0.10364256546615037</v>
      </c>
      <c r="J36" s="244" t="s">
        <v>491</v>
      </c>
      <c r="L36" s="234"/>
    </row>
    <row r="37" spans="5:12" x14ac:dyDescent="0.35">
      <c r="E37" s="235" t="s">
        <v>92</v>
      </c>
      <c r="F37" s="236">
        <v>-2362</v>
      </c>
      <c r="G37" s="237">
        <v>-900</v>
      </c>
      <c r="H37" s="238">
        <f>+G37*3</f>
        <v>-2700</v>
      </c>
      <c r="I37" s="257">
        <f t="shared" si="5"/>
        <v>1.1659788614941918E-2</v>
      </c>
      <c r="J37" s="244" t="s">
        <v>477</v>
      </c>
      <c r="L37" s="234"/>
    </row>
    <row r="38" spans="5:12" x14ac:dyDescent="0.35">
      <c r="E38" s="235" t="s">
        <v>467</v>
      </c>
      <c r="F38" s="236">
        <v>-8000</v>
      </c>
      <c r="G38" s="237">
        <f>-2882.33-2825</f>
        <v>-5707.33</v>
      </c>
      <c r="H38" s="238">
        <f>+G38*3</f>
        <v>-17121.989999999998</v>
      </c>
      <c r="I38" s="257">
        <f t="shared" si="5"/>
        <v>7.3940290395240499E-2</v>
      </c>
      <c r="J38" s="244" t="s">
        <v>477</v>
      </c>
      <c r="L38" s="234"/>
    </row>
    <row r="39" spans="5:12" x14ac:dyDescent="0.35">
      <c r="E39" s="223" t="s">
        <v>43</v>
      </c>
      <c r="F39" s="224">
        <v>-24520</v>
      </c>
      <c r="G39" s="225">
        <v>-23973.599999999999</v>
      </c>
      <c r="H39" s="226">
        <f>+F39</f>
        <v>-24520</v>
      </c>
      <c r="I39" s="257">
        <f t="shared" si="5"/>
        <v>0.10588815438458363</v>
      </c>
      <c r="J39" s="244" t="s">
        <v>440</v>
      </c>
      <c r="L39" s="234"/>
    </row>
    <row r="40" spans="5:12" x14ac:dyDescent="0.35">
      <c r="E40" s="223" t="s">
        <v>462</v>
      </c>
      <c r="F40" s="224">
        <v>0</v>
      </c>
      <c r="G40" s="225">
        <v>0</v>
      </c>
      <c r="H40" s="226">
        <v>-10000</v>
      </c>
      <c r="I40" s="257">
        <f t="shared" si="5"/>
        <v>4.3184402277562657E-2</v>
      </c>
      <c r="J40" s="244" t="s">
        <v>492</v>
      </c>
    </row>
    <row r="41" spans="5:12" x14ac:dyDescent="0.35">
      <c r="E41" s="223" t="s">
        <v>461</v>
      </c>
      <c r="F41" s="224">
        <v>0</v>
      </c>
      <c r="G41" s="225">
        <v>-2783.85</v>
      </c>
      <c r="H41" s="226">
        <f>+G41*3</f>
        <v>-8351.5499999999993</v>
      </c>
      <c r="I41" s="257">
        <f t="shared" si="5"/>
        <v>3.6065669484117838E-2</v>
      </c>
      <c r="J41" s="244" t="s">
        <v>477</v>
      </c>
    </row>
    <row r="42" spans="5:12" x14ac:dyDescent="0.35">
      <c r="E42" s="223" t="s">
        <v>463</v>
      </c>
      <c r="F42" s="224">
        <v>0</v>
      </c>
      <c r="G42" s="225">
        <v>0</v>
      </c>
      <c r="H42" s="226">
        <f>+H41</f>
        <v>-8351.5499999999993</v>
      </c>
      <c r="I42" s="257">
        <f t="shared" si="5"/>
        <v>3.6065669484117838E-2</v>
      </c>
      <c r="J42" s="244" t="s">
        <v>493</v>
      </c>
    </row>
    <row r="43" spans="5:12" ht="16" thickBot="1" x14ac:dyDescent="0.4">
      <c r="E43" s="227" t="s">
        <v>468</v>
      </c>
      <c r="F43" s="228">
        <v>0</v>
      </c>
      <c r="G43" s="229">
        <v>0</v>
      </c>
      <c r="H43" s="230">
        <f>+H39</f>
        <v>-24520</v>
      </c>
      <c r="I43" s="257">
        <f t="shared" si="5"/>
        <v>0.10588815438458363</v>
      </c>
      <c r="J43" s="244" t="s">
        <v>494</v>
      </c>
    </row>
    <row r="44" spans="5:12" ht="16.5" thickTop="1" thickBot="1" x14ac:dyDescent="0.4">
      <c r="E44" s="231" t="s">
        <v>453</v>
      </c>
      <c r="F44" s="232">
        <f>SUM(F33:F43)</f>
        <v>-46882</v>
      </c>
      <c r="G44" s="232">
        <f>SUM(G33:G43)</f>
        <v>-48183.509999999995</v>
      </c>
      <c r="H44" s="233">
        <f>SUM(H33:H43)</f>
        <v>-231565.08999999997</v>
      </c>
      <c r="I44" s="260">
        <f>+H44/(H44+H22)</f>
        <v>0.55935194419345902</v>
      </c>
      <c r="J44" s="244" t="s">
        <v>507</v>
      </c>
    </row>
    <row r="45" spans="5:12" ht="5.5" customHeight="1" thickBot="1" x14ac:dyDescent="0.4">
      <c r="L45" s="234"/>
    </row>
    <row r="46" spans="5:12" ht="16" thickBot="1" x14ac:dyDescent="0.4">
      <c r="E46" s="239" t="s">
        <v>472</v>
      </c>
      <c r="F46" s="240">
        <f>+F30+F44</f>
        <v>-18088</v>
      </c>
      <c r="G46" s="240">
        <f>+G30+G44</f>
        <v>-47983.509999999995</v>
      </c>
      <c r="H46" s="246">
        <f>+H30+H44</f>
        <v>-90977.089999999967</v>
      </c>
      <c r="I46" s="244"/>
      <c r="J46" s="244" t="s">
        <v>495</v>
      </c>
      <c r="L46" s="234"/>
    </row>
    <row r="47" spans="5:12" ht="16" thickBot="1" x14ac:dyDescent="0.4"/>
    <row r="48" spans="5:12" ht="16" thickBot="1" x14ac:dyDescent="0.4">
      <c r="E48" s="241" t="s">
        <v>473</v>
      </c>
      <c r="F48" s="242">
        <f>+F24+F46</f>
        <v>11689.140681499979</v>
      </c>
      <c r="G48" s="242">
        <f>+G24+G46</f>
        <v>-30904.580000000009</v>
      </c>
      <c r="H48" s="243">
        <f>+H24+H46</f>
        <v>9831.8260000000591</v>
      </c>
      <c r="I48" s="244"/>
      <c r="J48" s="244" t="s">
        <v>496</v>
      </c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8B3FA-6BE0-40D4-8621-BD7DF3C8EC26}">
  <sheetPr>
    <tabColor rgb="FFCC9900"/>
  </sheetPr>
  <dimension ref="B1:L48"/>
  <sheetViews>
    <sheetView zoomScale="85" zoomScaleNormal="85" workbookViewId="0">
      <selection activeCell="H48" sqref="H48:I48"/>
    </sheetView>
  </sheetViews>
  <sheetFormatPr defaultRowHeight="15.5" x14ac:dyDescent="0.35"/>
  <cols>
    <col min="1" max="1" width="3.5" style="174" customWidth="1"/>
    <col min="2" max="2" width="18.75" style="174" customWidth="1"/>
    <col min="3" max="3" width="14.33203125" style="174" customWidth="1"/>
    <col min="4" max="4" width="3.75" style="174" customWidth="1"/>
    <col min="5" max="5" width="46.58203125" style="174" customWidth="1"/>
    <col min="6" max="6" width="14.33203125" style="174" bestFit="1" customWidth="1"/>
    <col min="7" max="7" width="15.25" style="174" bestFit="1" customWidth="1"/>
    <col min="8" max="8" width="20.58203125" style="174" bestFit="1" customWidth="1"/>
    <col min="9" max="9" width="6" style="253" bestFit="1" customWidth="1"/>
    <col min="10" max="10" width="8.6640625" style="244" customWidth="1"/>
    <col min="11" max="11" width="8.6640625" style="174"/>
    <col min="12" max="12" width="13.25" style="174" bestFit="1" customWidth="1"/>
    <col min="13" max="16384" width="8.6640625" style="174"/>
  </cols>
  <sheetData>
    <row r="1" spans="2:10" ht="16" thickBot="1" x14ac:dyDescent="0.4"/>
    <row r="2" spans="2:10" x14ac:dyDescent="0.35">
      <c r="B2" s="175" t="s">
        <v>445</v>
      </c>
      <c r="C2" s="248">
        <v>23085.91</v>
      </c>
      <c r="E2" s="180" t="s">
        <v>448</v>
      </c>
      <c r="F2" s="181" t="s">
        <v>449</v>
      </c>
      <c r="G2" s="181" t="s">
        <v>450</v>
      </c>
      <c r="H2" s="182" t="s">
        <v>451</v>
      </c>
      <c r="I2" s="249" t="s">
        <v>503</v>
      </c>
      <c r="J2" s="245" t="s">
        <v>476</v>
      </c>
    </row>
    <row r="3" spans="2:10" x14ac:dyDescent="0.35">
      <c r="B3" s="176"/>
      <c r="C3" s="177"/>
      <c r="E3" s="183" t="s">
        <v>447</v>
      </c>
      <c r="F3" s="184">
        <f>+'Orçado x Realizado'!D88</f>
        <v>132353</v>
      </c>
      <c r="G3" s="199">
        <f>+'Orçado x Realizado'!E88</f>
        <v>60673.009999999995</v>
      </c>
      <c r="H3" s="200">
        <f>+G3*3</f>
        <v>182019.02999999997</v>
      </c>
      <c r="I3" s="254">
        <f>+H3/$H$6</f>
        <v>0.64264994774601725</v>
      </c>
      <c r="J3" s="244" t="s">
        <v>477</v>
      </c>
    </row>
    <row r="4" spans="2:10" x14ac:dyDescent="0.35">
      <c r="B4" s="176"/>
      <c r="C4" s="177"/>
      <c r="E4" s="183" t="s">
        <v>456</v>
      </c>
      <c r="F4" s="184">
        <f>+'Orçado x Realizado'!D93</f>
        <v>6801.11</v>
      </c>
      <c r="G4" s="199">
        <f>+'Orçado x Realizado'!E93</f>
        <v>8667.4500000000007</v>
      </c>
      <c r="H4" s="200">
        <v>0</v>
      </c>
      <c r="I4" s="254">
        <f t="shared" ref="I4:I5" si="0">+H4/$H$6</f>
        <v>0</v>
      </c>
      <c r="J4" s="244" t="s">
        <v>478</v>
      </c>
    </row>
    <row r="5" spans="2:10" ht="16" thickBot="1" x14ac:dyDescent="0.4">
      <c r="B5" s="176"/>
      <c r="C5" s="177"/>
      <c r="E5" s="185" t="s">
        <v>470</v>
      </c>
      <c r="F5" s="186">
        <v>0</v>
      </c>
      <c r="G5" s="201">
        <v>0</v>
      </c>
      <c r="H5" s="202">
        <f>+C11+C2-H29</f>
        <v>101212.97</v>
      </c>
      <c r="I5" s="254">
        <f t="shared" si="0"/>
        <v>0.35735005225398259</v>
      </c>
      <c r="J5" s="244" t="s">
        <v>479</v>
      </c>
    </row>
    <row r="6" spans="2:10" ht="16.5" thickTop="1" thickBot="1" x14ac:dyDescent="0.4">
      <c r="B6" s="176"/>
      <c r="C6" s="177"/>
      <c r="E6" s="187" t="s">
        <v>452</v>
      </c>
      <c r="F6" s="188">
        <f>SUM(F3:F5)</f>
        <v>139154.10999999999</v>
      </c>
      <c r="G6" s="188">
        <f>SUM(G3:G5)</f>
        <v>69340.459999999992</v>
      </c>
      <c r="H6" s="203">
        <f>SUM(H3:H5)</f>
        <v>283232</v>
      </c>
      <c r="I6" s="258">
        <f>+H6/(H6+H30)</f>
        <v>0.66828370534660941</v>
      </c>
      <c r="J6" s="244" t="s">
        <v>504</v>
      </c>
    </row>
    <row r="7" spans="2:10" ht="5.5" customHeight="1" thickBot="1" x14ac:dyDescent="0.4">
      <c r="B7" s="176"/>
      <c r="C7" s="177"/>
      <c r="E7" s="189"/>
      <c r="F7" s="189"/>
      <c r="G7" s="189"/>
      <c r="H7" s="189"/>
    </row>
    <row r="8" spans="2:10" x14ac:dyDescent="0.35">
      <c r="B8" s="176"/>
      <c r="C8" s="177"/>
      <c r="E8" s="190" t="s">
        <v>454</v>
      </c>
      <c r="F8" s="191" t="s">
        <v>449</v>
      </c>
      <c r="G8" s="191" t="s">
        <v>450</v>
      </c>
      <c r="H8" s="192" t="s">
        <v>451</v>
      </c>
      <c r="I8" s="250" t="s">
        <v>503</v>
      </c>
    </row>
    <row r="9" spans="2:10" ht="16" thickBot="1" x14ac:dyDescent="0.4">
      <c r="B9" s="178"/>
      <c r="C9" s="179"/>
      <c r="E9" s="193" t="s">
        <v>27</v>
      </c>
      <c r="F9" s="194">
        <v>-1192</v>
      </c>
      <c r="G9" s="205">
        <v>-1212</v>
      </c>
      <c r="H9" s="206">
        <f>-1212*1.1</f>
        <v>-1333.2</v>
      </c>
      <c r="I9" s="255">
        <f>+H9/$H$22</f>
        <v>7.9219572411110082E-3</v>
      </c>
      <c r="J9" s="244" t="s">
        <v>480</v>
      </c>
    </row>
    <row r="10" spans="2:10" ht="16" thickBot="1" x14ac:dyDescent="0.4">
      <c r="E10" s="193" t="s">
        <v>28</v>
      </c>
      <c r="F10" s="194">
        <v>-15026</v>
      </c>
      <c r="G10" s="205">
        <v>-11002.04</v>
      </c>
      <c r="H10" s="206">
        <f>+G10*1.1</f>
        <v>-12102.244000000002</v>
      </c>
      <c r="I10" s="255">
        <f t="shared" ref="I10:I21" si="1">+H10/$H$22</f>
        <v>7.1912285845703763E-2</v>
      </c>
      <c r="J10" s="244" t="s">
        <v>480</v>
      </c>
    </row>
    <row r="11" spans="2:10" x14ac:dyDescent="0.35">
      <c r="B11" s="175" t="s">
        <v>446</v>
      </c>
      <c r="C11" s="248">
        <v>161127.06</v>
      </c>
      <c r="E11" s="193" t="s">
        <v>465</v>
      </c>
      <c r="F11" s="194">
        <v>0</v>
      </c>
      <c r="G11" s="205">
        <v>0</v>
      </c>
      <c r="H11" s="206">
        <v>-30000</v>
      </c>
      <c r="I11" s="255">
        <f t="shared" si="1"/>
        <v>0.17826186411140882</v>
      </c>
      <c r="J11" s="244" t="s">
        <v>497</v>
      </c>
    </row>
    <row r="12" spans="2:10" x14ac:dyDescent="0.35">
      <c r="B12" s="176"/>
      <c r="C12" s="177"/>
      <c r="E12" s="193" t="s">
        <v>439</v>
      </c>
      <c r="F12" s="194">
        <f>-2454.33-480</f>
        <v>-2934.33</v>
      </c>
      <c r="G12" s="205">
        <v>-261.47000000000003</v>
      </c>
      <c r="H12" s="206">
        <f>+F12*2</f>
        <v>-5868.66</v>
      </c>
      <c r="I12" s="255">
        <f t="shared" si="1"/>
        <v>3.487194238120201E-2</v>
      </c>
      <c r="J12" s="244" t="s">
        <v>498</v>
      </c>
    </row>
    <row r="13" spans="2:10" x14ac:dyDescent="0.35">
      <c r="B13" s="176"/>
      <c r="C13" s="177"/>
      <c r="E13" s="193" t="s">
        <v>414</v>
      </c>
      <c r="F13" s="194">
        <v>-1100</v>
      </c>
      <c r="G13" s="205">
        <v>-577.62</v>
      </c>
      <c r="H13" s="206">
        <f>+G13*3</f>
        <v>-1732.8600000000001</v>
      </c>
      <c r="I13" s="255">
        <f t="shared" si="1"/>
        <v>1.0296761794803197E-2</v>
      </c>
      <c r="J13" s="244" t="s">
        <v>499</v>
      </c>
    </row>
    <row r="14" spans="2:10" x14ac:dyDescent="0.35">
      <c r="B14" s="176"/>
      <c r="C14" s="177"/>
      <c r="E14" s="193" t="s">
        <v>19</v>
      </c>
      <c r="F14" s="194">
        <v>-8268</v>
      </c>
      <c r="G14" s="205">
        <v>-3600</v>
      </c>
      <c r="H14" s="206">
        <f>+G14*3</f>
        <v>-10800</v>
      </c>
      <c r="I14" s="255">
        <f t="shared" si="1"/>
        <v>6.4174271080107176E-2</v>
      </c>
      <c r="J14" s="244" t="s">
        <v>477</v>
      </c>
    </row>
    <row r="15" spans="2:10" ht="16" thickBot="1" x14ac:dyDescent="0.4">
      <c r="B15" s="178"/>
      <c r="C15" s="179"/>
      <c r="E15" s="193" t="s">
        <v>20</v>
      </c>
      <c r="F15" s="194">
        <v>-4185</v>
      </c>
      <c r="G15" s="205">
        <v>-1864.3400000000001</v>
      </c>
      <c r="H15" s="206">
        <v>-500</v>
      </c>
      <c r="I15" s="255">
        <f t="shared" si="1"/>
        <v>2.9710310685234801E-3</v>
      </c>
      <c r="J15" s="244" t="s">
        <v>482</v>
      </c>
    </row>
    <row r="16" spans="2:10" x14ac:dyDescent="0.35">
      <c r="E16" s="193" t="s">
        <v>22</v>
      </c>
      <c r="F16" s="194">
        <v>-390.76</v>
      </c>
      <c r="G16" s="205">
        <v>-1886.8799999999999</v>
      </c>
      <c r="H16" s="206">
        <v>-500</v>
      </c>
      <c r="I16" s="255">
        <f t="shared" si="1"/>
        <v>2.9710310685234801E-3</v>
      </c>
      <c r="J16" s="244" t="s">
        <v>483</v>
      </c>
    </row>
    <row r="17" spans="3:12" x14ac:dyDescent="0.35">
      <c r="E17" s="193" t="s">
        <v>32</v>
      </c>
      <c r="F17" s="194">
        <v>-11600</v>
      </c>
      <c r="G17" s="205">
        <v>0</v>
      </c>
      <c r="H17" s="206">
        <f>+F17</f>
        <v>-11600</v>
      </c>
      <c r="I17" s="255">
        <f t="shared" si="1"/>
        <v>6.8927920789744745E-2</v>
      </c>
      <c r="J17" s="244" t="s">
        <v>484</v>
      </c>
    </row>
    <row r="18" spans="3:12" x14ac:dyDescent="0.35">
      <c r="E18" s="193" t="s">
        <v>44</v>
      </c>
      <c r="F18" s="194">
        <f>+'Orçado x Realizado'!J26</f>
        <v>-40148.3293185</v>
      </c>
      <c r="G18" s="205">
        <v>-16169.41</v>
      </c>
      <c r="H18" s="206">
        <f>+G18*3</f>
        <v>-48508.229999999996</v>
      </c>
      <c r="I18" s="255">
        <f t="shared" si="1"/>
        <v>0.28823891681816544</v>
      </c>
      <c r="J18" s="244" t="s">
        <v>477</v>
      </c>
    </row>
    <row r="19" spans="3:12" x14ac:dyDescent="0.35">
      <c r="E19" s="193" t="s">
        <v>25</v>
      </c>
      <c r="F19" s="194">
        <v>-9754.5499999999993</v>
      </c>
      <c r="G19" s="205">
        <v>-8567.09</v>
      </c>
      <c r="H19" s="206">
        <f>+G19</f>
        <v>-8567.09</v>
      </c>
      <c r="I19" s="255">
        <f t="shared" si="1"/>
        <v>5.0906181113673642E-2</v>
      </c>
      <c r="J19" s="244" t="s">
        <v>485</v>
      </c>
    </row>
    <row r="20" spans="3:12" x14ac:dyDescent="0.35">
      <c r="C20" s="262">
        <f>192973.45-C11-C2</f>
        <v>8760.4800000000141</v>
      </c>
      <c r="E20" s="193" t="s">
        <v>24</v>
      </c>
      <c r="F20" s="194">
        <f>-5679-4699</f>
        <v>-10378</v>
      </c>
      <c r="G20" s="205">
        <v>-49.86</v>
      </c>
      <c r="H20" s="206">
        <f>+F20*1.5</f>
        <v>-15567</v>
      </c>
      <c r="I20" s="255">
        <f t="shared" si="1"/>
        <v>9.2500081287410038E-2</v>
      </c>
      <c r="J20" s="244" t="s">
        <v>486</v>
      </c>
      <c r="L20" s="234"/>
    </row>
    <row r="21" spans="3:12" ht="16" thickBot="1" x14ac:dyDescent="0.4">
      <c r="E21" s="195" t="s">
        <v>93</v>
      </c>
      <c r="F21" s="196">
        <v>-4400</v>
      </c>
      <c r="G21" s="196">
        <v>-7070.82</v>
      </c>
      <c r="H21" s="207">
        <f>+G21*3</f>
        <v>-21212.46</v>
      </c>
      <c r="I21" s="255">
        <f t="shared" si="1"/>
        <v>0.12604575539962315</v>
      </c>
      <c r="J21" s="244" t="s">
        <v>477</v>
      </c>
      <c r="L21" s="234"/>
    </row>
    <row r="22" spans="3:12" ht="16.5" thickTop="1" thickBot="1" x14ac:dyDescent="0.4">
      <c r="E22" s="197" t="s">
        <v>453</v>
      </c>
      <c r="F22" s="198">
        <f>SUM(F9:F21)</f>
        <v>-109376.96931850001</v>
      </c>
      <c r="G22" s="198">
        <f>SUM(G9:G21)</f>
        <v>-52261.530000000006</v>
      </c>
      <c r="H22" s="204">
        <f>SUM(H9:H21)</f>
        <v>-168291.74400000001</v>
      </c>
      <c r="I22" s="259">
        <f>+H22/(H22+H44)</f>
        <v>0.46790969597156196</v>
      </c>
      <c r="J22" s="244" t="s">
        <v>505</v>
      </c>
      <c r="L22" s="234"/>
    </row>
    <row r="23" spans="3:12" ht="5.5" customHeight="1" thickBot="1" x14ac:dyDescent="0.4">
      <c r="L23" s="234"/>
    </row>
    <row r="24" spans="3:12" ht="16" thickBot="1" x14ac:dyDescent="0.4">
      <c r="E24" s="239" t="s">
        <v>471</v>
      </c>
      <c r="F24" s="240">
        <f>+F6+F22</f>
        <v>29777.140681499979</v>
      </c>
      <c r="G24" s="240">
        <f>+G6+G22</f>
        <v>17078.929999999986</v>
      </c>
      <c r="H24" s="247">
        <f>+H6+H22</f>
        <v>114940.25599999999</v>
      </c>
      <c r="I24" s="244"/>
      <c r="L24" s="234"/>
    </row>
    <row r="25" spans="3:12" ht="16" thickBot="1" x14ac:dyDescent="0.4">
      <c r="L25" s="234"/>
    </row>
    <row r="26" spans="3:12" x14ac:dyDescent="0.35">
      <c r="E26" s="208" t="s">
        <v>455</v>
      </c>
      <c r="F26" s="209" t="s">
        <v>449</v>
      </c>
      <c r="G26" s="209" t="s">
        <v>450</v>
      </c>
      <c r="H26" s="210" t="s">
        <v>451</v>
      </c>
      <c r="I26" s="251" t="s">
        <v>503</v>
      </c>
      <c r="L26" s="234"/>
    </row>
    <row r="27" spans="3:12" x14ac:dyDescent="0.35">
      <c r="E27" s="211" t="s">
        <v>17</v>
      </c>
      <c r="F27" s="212">
        <f>+'Orçado x Realizado'!D92</f>
        <v>28794</v>
      </c>
      <c r="G27" s="212">
        <f>+'Orçado x Realizado'!E92</f>
        <v>0</v>
      </c>
      <c r="H27" s="213">
        <f>+F27*2</f>
        <v>57588</v>
      </c>
      <c r="I27" s="256">
        <f>+H27/$H$30</f>
        <v>0.40962244288274957</v>
      </c>
      <c r="J27" s="244" t="s">
        <v>487</v>
      </c>
      <c r="L27" s="234"/>
    </row>
    <row r="28" spans="3:12" x14ac:dyDescent="0.35">
      <c r="E28" s="211" t="s">
        <v>15</v>
      </c>
      <c r="F28" s="212">
        <v>0</v>
      </c>
      <c r="G28" s="212">
        <v>200</v>
      </c>
      <c r="H28" s="213">
        <f>+F28*2</f>
        <v>0</v>
      </c>
      <c r="I28" s="256">
        <f t="shared" ref="I28:I29" si="2">+H28/$H$30</f>
        <v>0</v>
      </c>
      <c r="J28" s="244" t="s">
        <v>488</v>
      </c>
      <c r="L28" s="234"/>
    </row>
    <row r="29" spans="3:12" ht="16" thickBot="1" x14ac:dyDescent="0.4">
      <c r="E29" s="214" t="s">
        <v>469</v>
      </c>
      <c r="F29" s="215">
        <v>0</v>
      </c>
      <c r="G29" s="215">
        <v>0</v>
      </c>
      <c r="H29" s="216">
        <v>83000</v>
      </c>
      <c r="I29" s="256">
        <f t="shared" si="2"/>
        <v>0.59037755711725037</v>
      </c>
      <c r="L29" s="234"/>
    </row>
    <row r="30" spans="3:12" ht="16.5" thickTop="1" thickBot="1" x14ac:dyDescent="0.4">
      <c r="E30" s="217" t="s">
        <v>457</v>
      </c>
      <c r="F30" s="218">
        <f>SUM(F26:F29)</f>
        <v>28794</v>
      </c>
      <c r="G30" s="218">
        <f t="shared" ref="G30:H30" si="3">SUM(G26:G29)</f>
        <v>200</v>
      </c>
      <c r="H30" s="219">
        <f t="shared" si="3"/>
        <v>140588</v>
      </c>
      <c r="I30" s="261">
        <f>+H30/(H30+H6)</f>
        <v>0.33171629465339059</v>
      </c>
      <c r="J30" s="244" t="s">
        <v>506</v>
      </c>
      <c r="L30" s="234"/>
    </row>
    <row r="31" spans="3:12" ht="5.5" customHeight="1" thickBot="1" x14ac:dyDescent="0.4">
      <c r="E31" s="189"/>
      <c r="F31" s="189"/>
      <c r="G31" s="189"/>
      <c r="H31" s="189"/>
      <c r="L31" s="234"/>
    </row>
    <row r="32" spans="3:12" x14ac:dyDescent="0.35">
      <c r="E32" s="220" t="s">
        <v>458</v>
      </c>
      <c r="F32" s="221" t="s">
        <v>449</v>
      </c>
      <c r="G32" s="221" t="s">
        <v>450</v>
      </c>
      <c r="H32" s="222" t="s">
        <v>451</v>
      </c>
      <c r="I32" s="252" t="s">
        <v>503</v>
      </c>
      <c r="L32" s="234"/>
    </row>
    <row r="33" spans="5:12" x14ac:dyDescent="0.35">
      <c r="E33" s="223" t="s">
        <v>466</v>
      </c>
      <c r="F33" s="224">
        <v>0</v>
      </c>
      <c r="G33" s="225">
        <v>0</v>
      </c>
      <c r="H33" s="226">
        <f>-60*750</f>
        <v>-45000</v>
      </c>
      <c r="I33" s="257">
        <f>+H33/$H$44</f>
        <v>0.23513993961606347</v>
      </c>
      <c r="J33" s="244" t="s">
        <v>500</v>
      </c>
      <c r="L33" s="234"/>
    </row>
    <row r="34" spans="5:12" x14ac:dyDescent="0.35">
      <c r="E34" s="223" t="s">
        <v>460</v>
      </c>
      <c r="F34" s="224">
        <v>0</v>
      </c>
      <c r="G34" s="225">
        <v>-2707.5</v>
      </c>
      <c r="H34" s="226">
        <f>-6000*5</f>
        <v>-30000</v>
      </c>
      <c r="I34" s="257">
        <f t="shared" ref="I34:I43" si="4">+H34/$H$44</f>
        <v>0.15675995974404233</v>
      </c>
      <c r="J34" s="244" t="s">
        <v>501</v>
      </c>
      <c r="L34" s="234"/>
    </row>
    <row r="35" spans="5:12" x14ac:dyDescent="0.35">
      <c r="E35" s="223" t="s">
        <v>459</v>
      </c>
      <c r="F35" s="224">
        <v>0</v>
      </c>
      <c r="G35" s="225">
        <f>-1845-10266.23</f>
        <v>-12111.23</v>
      </c>
      <c r="H35" s="226">
        <v>-6000</v>
      </c>
      <c r="I35" s="257">
        <f t="shared" si="4"/>
        <v>3.1351991948808465E-2</v>
      </c>
      <c r="J35" s="244" t="s">
        <v>490</v>
      </c>
      <c r="L35" s="234"/>
    </row>
    <row r="36" spans="5:12" x14ac:dyDescent="0.35">
      <c r="E36" s="223" t="s">
        <v>464</v>
      </c>
      <c r="F36" s="224">
        <v>-12000</v>
      </c>
      <c r="G36" s="225">
        <v>0</v>
      </c>
      <c r="H36" s="226">
        <v>-24000</v>
      </c>
      <c r="I36" s="257">
        <f t="shared" si="4"/>
        <v>0.12540796779523386</v>
      </c>
      <c r="J36" s="244" t="s">
        <v>491</v>
      </c>
      <c r="L36" s="234"/>
    </row>
    <row r="37" spans="5:12" x14ac:dyDescent="0.35">
      <c r="E37" s="235" t="s">
        <v>92</v>
      </c>
      <c r="F37" s="236">
        <v>-2362</v>
      </c>
      <c r="G37" s="237">
        <v>-900</v>
      </c>
      <c r="H37" s="238">
        <f>+G37*3</f>
        <v>-2700</v>
      </c>
      <c r="I37" s="257">
        <f t="shared" si="4"/>
        <v>1.4108396376963808E-2</v>
      </c>
      <c r="J37" s="244" t="s">
        <v>502</v>
      </c>
      <c r="L37" s="234"/>
    </row>
    <row r="38" spans="5:12" x14ac:dyDescent="0.35">
      <c r="E38" s="235" t="s">
        <v>467</v>
      </c>
      <c r="F38" s="236">
        <v>-8000</v>
      </c>
      <c r="G38" s="237">
        <f>-2882.33-2825</f>
        <v>-5707.33</v>
      </c>
      <c r="H38" s="238">
        <v>-16000</v>
      </c>
      <c r="I38" s="257">
        <f t="shared" si="4"/>
        <v>8.360531186348924E-2</v>
      </c>
      <c r="J38" s="244" t="s">
        <v>502</v>
      </c>
      <c r="L38" s="234"/>
    </row>
    <row r="39" spans="5:12" x14ac:dyDescent="0.35">
      <c r="E39" s="223" t="s">
        <v>43</v>
      </c>
      <c r="F39" s="224">
        <v>-24520</v>
      </c>
      <c r="G39" s="225">
        <v>-23973.599999999999</v>
      </c>
      <c r="H39" s="226">
        <f>+F39</f>
        <v>-24520</v>
      </c>
      <c r="I39" s="257">
        <f t="shared" si="4"/>
        <v>0.12812514043079726</v>
      </c>
      <c r="J39" s="244" t="s">
        <v>440</v>
      </c>
      <c r="L39" s="234"/>
    </row>
    <row r="40" spans="5:12" x14ac:dyDescent="0.35">
      <c r="E40" s="223" t="s">
        <v>462</v>
      </c>
      <c r="F40" s="224">
        <v>0</v>
      </c>
      <c r="G40" s="225">
        <v>0</v>
      </c>
      <c r="H40" s="226">
        <v>-7500</v>
      </c>
      <c r="I40" s="257">
        <f t="shared" si="4"/>
        <v>3.9189989936010583E-2</v>
      </c>
      <c r="J40" s="244" t="s">
        <v>492</v>
      </c>
    </row>
    <row r="41" spans="5:12" x14ac:dyDescent="0.35">
      <c r="E41" s="223" t="s">
        <v>461</v>
      </c>
      <c r="F41" s="224">
        <v>0</v>
      </c>
      <c r="G41" s="225">
        <v>-2783.85</v>
      </c>
      <c r="H41" s="226">
        <f>+G41*2</f>
        <v>-5567.7</v>
      </c>
      <c r="I41" s="257">
        <f t="shared" si="4"/>
        <v>2.9093080928896814E-2</v>
      </c>
      <c r="J41" s="244" t="s">
        <v>499</v>
      </c>
    </row>
    <row r="42" spans="5:12" x14ac:dyDescent="0.35">
      <c r="E42" s="223" t="s">
        <v>463</v>
      </c>
      <c r="F42" s="224">
        <v>0</v>
      </c>
      <c r="G42" s="225">
        <v>0</v>
      </c>
      <c r="H42" s="226">
        <f>+H41</f>
        <v>-5567.7</v>
      </c>
      <c r="I42" s="257">
        <f t="shared" si="4"/>
        <v>2.9093080928896814E-2</v>
      </c>
      <c r="J42" s="244" t="s">
        <v>493</v>
      </c>
    </row>
    <row r="43" spans="5:12" ht="16" thickBot="1" x14ac:dyDescent="0.4">
      <c r="E43" s="227" t="s">
        <v>511</v>
      </c>
      <c r="F43" s="228">
        <v>0</v>
      </c>
      <c r="G43" s="229">
        <v>0</v>
      </c>
      <c r="H43" s="230">
        <f>+H39</f>
        <v>-24520</v>
      </c>
      <c r="I43" s="257">
        <f t="shared" si="4"/>
        <v>0.12812514043079726</v>
      </c>
      <c r="J43" s="244" t="s">
        <v>494</v>
      </c>
    </row>
    <row r="44" spans="5:12" ht="16.5" thickTop="1" thickBot="1" x14ac:dyDescent="0.4">
      <c r="E44" s="231" t="s">
        <v>453</v>
      </c>
      <c r="F44" s="232">
        <f>SUM(F33:F43)</f>
        <v>-46882</v>
      </c>
      <c r="G44" s="232">
        <f>SUM(G33:G43)</f>
        <v>-48183.509999999995</v>
      </c>
      <c r="H44" s="233">
        <f>SUM(H33:H43)</f>
        <v>-191375.40000000002</v>
      </c>
      <c r="I44" s="260">
        <f>+H44/(H44+H22)</f>
        <v>0.53209030402843804</v>
      </c>
      <c r="J44" s="244" t="s">
        <v>507</v>
      </c>
    </row>
    <row r="45" spans="5:12" ht="5.5" customHeight="1" thickBot="1" x14ac:dyDescent="0.4">
      <c r="L45" s="234"/>
    </row>
    <row r="46" spans="5:12" ht="16" thickBot="1" x14ac:dyDescent="0.4">
      <c r="E46" s="239" t="s">
        <v>472</v>
      </c>
      <c r="F46" s="240">
        <f>+F30+F44</f>
        <v>-18088</v>
      </c>
      <c r="G46" s="240">
        <f>+G30+G44</f>
        <v>-47983.509999999995</v>
      </c>
      <c r="H46" s="246">
        <f>+H30+H44</f>
        <v>-50787.400000000023</v>
      </c>
      <c r="I46" s="244"/>
      <c r="J46" s="244" t="s">
        <v>509</v>
      </c>
      <c r="L46" s="234"/>
    </row>
    <row r="47" spans="5:12" ht="16" thickBot="1" x14ac:dyDescent="0.4"/>
    <row r="48" spans="5:12" ht="16" thickBot="1" x14ac:dyDescent="0.4">
      <c r="E48" s="241" t="s">
        <v>473</v>
      </c>
      <c r="F48" s="242">
        <f>+F24+F46</f>
        <v>11689.140681499979</v>
      </c>
      <c r="G48" s="242">
        <f>+G24+G46</f>
        <v>-30904.580000000009</v>
      </c>
      <c r="H48" s="243">
        <f>+H24+H46</f>
        <v>64152.855999999971</v>
      </c>
      <c r="I48" s="244"/>
      <c r="J48" s="244" t="s">
        <v>510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83124-861A-43F0-840F-6470BCA6494D}">
  <dimension ref="A1:B59"/>
  <sheetViews>
    <sheetView workbookViewId="0">
      <selection activeCell="G15" sqref="G15"/>
    </sheetView>
  </sheetViews>
  <sheetFormatPr defaultRowHeight="15.5" x14ac:dyDescent="0.35"/>
  <cols>
    <col min="1" max="1" width="34.5" bestFit="1" customWidth="1"/>
    <col min="2" max="2" width="40.1640625" bestFit="1" customWidth="1"/>
  </cols>
  <sheetData>
    <row r="1" spans="1:2" x14ac:dyDescent="0.35">
      <c r="A1" s="77" t="s">
        <v>4</v>
      </c>
      <c r="B1" s="123" t="s">
        <v>0</v>
      </c>
    </row>
    <row r="2" spans="1:2" x14ac:dyDescent="0.35">
      <c r="A2" s="22" t="str">
        <f>+'Orçado x Realizado'!B20</f>
        <v>Comunidade Amar e Servir - BA</v>
      </c>
      <c r="B2" s="16" t="str">
        <f>+'Orçado x Realizado'!I18</f>
        <v>Anuidade CNLB</v>
      </c>
    </row>
    <row r="3" spans="1:2" x14ac:dyDescent="0.35">
      <c r="A3" s="22" t="str">
        <f>+'Orçado x Realizado'!B21</f>
        <v>Comunidade Nossa Senhora Aparecida</v>
      </c>
      <c r="B3" s="16" t="str">
        <f>+'Orçado x Realizado'!I19</f>
        <v>Anuidade CVX Mundial</v>
      </c>
    </row>
    <row r="4" spans="1:2" x14ac:dyDescent="0.35">
      <c r="A4" s="22" t="str">
        <f>+'Orçado x Realizado'!B22</f>
        <v>Comunidade Santíssima Trindade</v>
      </c>
      <c r="B4" s="16" t="str">
        <f>+'Orçado x Realizado'!I20</f>
        <v>Assinaturas (StreamYard, Zoom, Publicações, Site...)</v>
      </c>
    </row>
    <row r="5" spans="1:2" x14ac:dyDescent="0.35">
      <c r="A5" s="22" t="str">
        <f>+'Orçado x Realizado'!B23</f>
        <v>Comunidade Vida e Esperança</v>
      </c>
      <c r="B5" s="16" t="str">
        <f>+'Orçado x Realizado'!I21</f>
        <v>Cartório e correios</v>
      </c>
    </row>
    <row r="6" spans="1:2" x14ac:dyDescent="0.35">
      <c r="A6" s="22" t="str">
        <f>+'Orçado x Realizado'!B26</f>
        <v>Comunidade Dom Luciano</v>
      </c>
      <c r="B6" s="16" t="str">
        <f>+'Orçado x Realizado'!I22</f>
        <v>Contabilidade</v>
      </c>
    </row>
    <row r="7" spans="1:2" x14ac:dyDescent="0.35">
      <c r="A7" s="22" t="str">
        <f>+'Orçado x Realizado'!B27</f>
        <v>Comunidade Padre Iglesias</v>
      </c>
      <c r="B7" s="16" t="str">
        <f>+'Orçado x Realizado'!I23</f>
        <v>Despesas bancárias</v>
      </c>
    </row>
    <row r="8" spans="1:2" x14ac:dyDescent="0.35">
      <c r="A8" s="22" t="str">
        <f>+'Orçado x Realizado'!B28</f>
        <v>Comunidade Santo Alberto Hurtado</v>
      </c>
      <c r="B8" s="16" t="str">
        <f>+'Orçado x Realizado'!I24</f>
        <v>Impostos e taxas</v>
      </c>
    </row>
    <row r="9" spans="1:2" x14ac:dyDescent="0.35">
      <c r="A9" s="22" t="str">
        <f>+'Orçado x Realizado'!B29</f>
        <v>Comunidade São José</v>
      </c>
      <c r="B9" s="16" t="str">
        <f>+'Orçado x Realizado'!I25</f>
        <v>Participações presenciais da CEN em eventos regionais</v>
      </c>
    </row>
    <row r="10" spans="1:2" x14ac:dyDescent="0.35">
      <c r="A10" s="22" t="str">
        <f>+'Orçado x Realizado'!B32</f>
        <v>Comunidade Maria</v>
      </c>
      <c r="B10" s="16" t="str">
        <f>+'Orçado x Realizado'!I26</f>
        <v>Repasse para as Instâncias Regionais</v>
      </c>
    </row>
    <row r="11" spans="1:2" x14ac:dyDescent="0.35">
      <c r="A11" s="22" t="str">
        <f>+'Orçado x Realizado'!B33</f>
        <v>Comunidade Santa Rafaela Maria</v>
      </c>
      <c r="B11" s="16" t="str">
        <f>+'Orçado x Realizado'!I27</f>
        <v>Reuniões Conselho Ampliado</v>
      </c>
    </row>
    <row r="12" spans="1:2" x14ac:dyDescent="0.35">
      <c r="A12" s="22" t="str">
        <f>+'Orçado x Realizado'!B34</f>
        <v>Comunidade São Francisco Xavier</v>
      </c>
      <c r="B12" s="16" t="str">
        <f>+'Orçado x Realizado'!I28</f>
        <v>Reuniões Coordenação Executiva</v>
      </c>
    </row>
    <row r="13" spans="1:2" x14ac:dyDescent="0.35">
      <c r="A13" s="22" t="str">
        <f>+'Orçado x Realizado'!B35</f>
        <v>Comunidade São Paulo Apóstolo</v>
      </c>
      <c r="B13" s="16" t="str">
        <f>+'Orçado x Realizado'!I29</f>
        <v>Representações institucionais (ex.: Assembleia CNLB)</v>
      </c>
    </row>
    <row r="14" spans="1:2" x14ac:dyDescent="0.35">
      <c r="A14" s="22" t="str">
        <f>+'Orçado x Realizado'!B38</f>
        <v>Comunidade Fé e Vida</v>
      </c>
      <c r="B14" s="16" t="str">
        <f>+'Orçado x Realizado'!I33</f>
        <v>Encontro Global de Formação (ExCo)</v>
      </c>
    </row>
    <row r="15" spans="1:2" x14ac:dyDescent="0.35">
      <c r="A15" s="22" t="str">
        <f>+'Orçado x Realizado'!B39</f>
        <v>Comunidade Profeta Peregrino</v>
      </c>
      <c r="B15" s="16" t="str">
        <f>+'Orçado x Realizado'!I34</f>
        <v>Encontro Internacional das Famílias (CVX-E)</v>
      </c>
    </row>
    <row r="16" spans="1:2" x14ac:dyDescent="0.35">
      <c r="A16" s="22" t="str">
        <f>+'Orçado x Realizado'!B40</f>
        <v>Comunidade Santa Tereza Couderc</v>
      </c>
      <c r="B16" s="16" t="str">
        <f>+'Orçado x Realizado'!I35</f>
        <v>Jornada Mundial das Juventudes (Companhia de Jesus)</v>
      </c>
    </row>
    <row r="17" spans="1:2" x14ac:dyDescent="0.35">
      <c r="A17" s="22" t="str">
        <f>+'Orçado x Realizado'!B41</f>
        <v>Comunidade Santo Inácio de Loyola</v>
      </c>
      <c r="B17" s="16" t="str">
        <f>+'Orçado x Realizado'!I36</f>
        <v>Magis VI (CENAL)</v>
      </c>
    </row>
    <row r="18" spans="1:2" x14ac:dyDescent="0.35">
      <c r="A18" s="22" t="str">
        <f>+'Orçado x Realizado'!B44</f>
        <v>Comunidade Amar e Servir - RJ</v>
      </c>
      <c r="B18" s="16" t="str">
        <f>+'Orçado x Realizado'!I37</f>
        <v>Outras formações (CAP1, CAP2, EoF, etc)</v>
      </c>
    </row>
    <row r="19" spans="1:2" x14ac:dyDescent="0.35">
      <c r="A19" s="22" t="str">
        <f>+'Orçado x Realizado'!B45</f>
        <v>Comunidade Aprendizes do Coração de Jesus</v>
      </c>
      <c r="B19" s="16" t="str">
        <f>+'Orçado x Realizado'!I40</f>
        <v>Apoio a participação em retiros de final de semana</v>
      </c>
    </row>
    <row r="20" spans="1:2" x14ac:dyDescent="0.35">
      <c r="A20" s="22" t="str">
        <f>+'Orçado x Realizado'!B46</f>
        <v>Comunidade Cristo Redentor</v>
      </c>
      <c r="B20" s="16" t="str">
        <f>+'Orçado x Realizado'!I41</f>
        <v>Apoio a participação em retiros de 8 dias</v>
      </c>
    </row>
    <row r="21" spans="1:2" x14ac:dyDescent="0.35">
      <c r="A21" s="22" t="str">
        <f>+'Orçado x Realizado'!B47</f>
        <v xml:space="preserve">Comunidade Dom Helder Camara </v>
      </c>
      <c r="B21" s="16" t="str">
        <f>+'Orçado x Realizado'!I42</f>
        <v>Apoio a participação em retiros de 30 dias</v>
      </c>
    </row>
    <row r="22" spans="1:2" x14ac:dyDescent="0.35">
      <c r="A22" s="22" t="str">
        <f>+'Orçado x Realizado'!B48</f>
        <v>Comunidade Fé e Vida São Francisco Xavier</v>
      </c>
      <c r="B22" s="16" t="str">
        <f>+'Orçado x Realizado'!I45</f>
        <v>Acordo de cooperação com SJMR</v>
      </c>
    </row>
    <row r="23" spans="1:2" x14ac:dyDescent="0.35">
      <c r="A23" s="22" t="str">
        <f>+'Orçado x Realizado'!B49</f>
        <v>Comunidade Inácio Peregrino</v>
      </c>
      <c r="B23" s="16" t="str">
        <f>+'Orçado x Realizado'!I46</f>
        <v>Doação para obras da CVX Mundial</v>
      </c>
    </row>
    <row r="24" spans="1:2" x14ac:dyDescent="0.35">
      <c r="A24" s="22" t="str">
        <f>+'Orçado x Realizado'!B50</f>
        <v>Comunidade Maria Arca da Aliança</v>
      </c>
      <c r="B24" s="16" t="str">
        <f>+'Orçado x Realizado'!I47</f>
        <v>Financiamento de obras da CVX nas Regionais</v>
      </c>
    </row>
    <row r="25" spans="1:2" x14ac:dyDescent="0.35">
      <c r="A25" s="22" t="str">
        <f>+'Orçado x Realizado'!B51</f>
        <v>Comunidade Maria Mãe da Esperança</v>
      </c>
    </row>
    <row r="26" spans="1:2" x14ac:dyDescent="0.35">
      <c r="A26" s="22" t="str">
        <f>+'Orçado x Realizado'!B52</f>
        <v>Comunidade Maria Porta do Céu</v>
      </c>
    </row>
    <row r="27" spans="1:2" x14ac:dyDescent="0.35">
      <c r="A27" s="22" t="str">
        <f>+'Orçado x Realizado'!B53</f>
        <v>Comunidade Nossa Senhora da Luz</v>
      </c>
    </row>
    <row r="28" spans="1:2" x14ac:dyDescent="0.35">
      <c r="A28" s="22" t="str">
        <f>+'Orçado x Realizado'!B54</f>
        <v>Comunidade Nossa Senhora da Paz</v>
      </c>
    </row>
    <row r="29" spans="1:2" x14ac:dyDescent="0.35">
      <c r="A29" s="22" t="str">
        <f>+'Orçado x Realizado'!B55</f>
        <v>Comunidade Nossa Senhora de Fátima</v>
      </c>
    </row>
    <row r="30" spans="1:2" x14ac:dyDescent="0.35">
      <c r="A30" s="22" t="str">
        <f>+'Orçado x Realizado'!B56</f>
        <v>Comunidade Nossa Senhora de Nazaré</v>
      </c>
    </row>
    <row r="31" spans="1:2" x14ac:dyDescent="0.35">
      <c r="A31" s="22" t="str">
        <f>+'Orçado x Realizado'!B57</f>
        <v>Comunidade Nossa Senhora de Montserrat - RJ</v>
      </c>
    </row>
    <row r="32" spans="1:2" x14ac:dyDescent="0.35">
      <c r="A32" s="22" t="str">
        <f>+'Orçado x Realizado'!B58</f>
        <v>Comunidade Peregrinos da Esperança</v>
      </c>
    </row>
    <row r="33" spans="1:1" x14ac:dyDescent="0.35">
      <c r="A33" s="22" t="str">
        <f>+'Orçado x Realizado'!B59</f>
        <v>Comunidade São José de Anchieta - RJ</v>
      </c>
    </row>
    <row r="34" spans="1:1" x14ac:dyDescent="0.35">
      <c r="A34" s="22" t="str">
        <f>+'Orçado x Realizado'!B60</f>
        <v>Comunidade São Marcos</v>
      </c>
    </row>
    <row r="35" spans="1:1" x14ac:dyDescent="0.35">
      <c r="A35" s="22" t="str">
        <f>+'Orçado x Realizado'!B61</f>
        <v>Comunidade Shalom</v>
      </c>
    </row>
    <row r="36" spans="1:1" x14ac:dyDescent="0.35">
      <c r="A36" s="22" t="str">
        <f>+'Orçado x Realizado'!B62</f>
        <v>Comunidade Virgem Oferente</v>
      </c>
    </row>
    <row r="37" spans="1:1" x14ac:dyDescent="0.35">
      <c r="A37" s="22" t="str">
        <f>+'Orçado x Realizado'!B65</f>
        <v>Comunidade A Caminho</v>
      </c>
    </row>
    <row r="38" spans="1:1" x14ac:dyDescent="0.35">
      <c r="A38" s="22" t="str">
        <f>+'Orçado x Realizado'!B66</f>
        <v>Comunidade Cardoner</v>
      </c>
    </row>
    <row r="39" spans="1:1" x14ac:dyDescent="0.35">
      <c r="A39" s="22" t="str">
        <f>+'Orçado x Realizado'!B67</f>
        <v>Comunidade CVXavier</v>
      </c>
    </row>
    <row r="40" spans="1:1" x14ac:dyDescent="0.35">
      <c r="A40" s="22" t="str">
        <f>+'Orçado x Realizado'!B68</f>
        <v>Comunidade MCL</v>
      </c>
    </row>
    <row r="41" spans="1:1" x14ac:dyDescent="0.35">
      <c r="A41" s="22" t="str">
        <f>+'Orçado x Realizado'!B69</f>
        <v>Comunidade Nazaré</v>
      </c>
    </row>
    <row r="42" spans="1:1" x14ac:dyDescent="0.35">
      <c r="A42" s="22" t="str">
        <f>+'Orçado x Realizado'!B70</f>
        <v>Comunidade Nossa Senhora da Estrada - SP</v>
      </c>
    </row>
    <row r="43" spans="1:1" x14ac:dyDescent="0.35">
      <c r="A43" s="22" t="str">
        <f>+'Orçado x Realizado'!B71</f>
        <v>Comunidade Nossa Senhora de Montserrat - SP</v>
      </c>
    </row>
    <row r="44" spans="1:1" x14ac:dyDescent="0.35">
      <c r="A44" s="22" t="str">
        <f>+'Orçado x Realizado'!B72</f>
        <v>Comunidade Peregrino</v>
      </c>
    </row>
    <row r="45" spans="1:1" x14ac:dyDescent="0.35">
      <c r="A45" s="22" t="str">
        <f>+'Orçado x Realizado'!B73</f>
        <v>Comunidade Santa Maria</v>
      </c>
    </row>
    <row r="46" spans="1:1" x14ac:dyDescent="0.35">
      <c r="A46" s="22" t="str">
        <f>+'Orçado x Realizado'!B76</f>
        <v>Comunidade Coração Imaculado de Maria</v>
      </c>
    </row>
    <row r="47" spans="1:1" x14ac:dyDescent="0.35">
      <c r="A47" s="22" t="str">
        <f>+'Orçado x Realizado'!B77</f>
        <v>Comunidade Esperança</v>
      </c>
    </row>
    <row r="48" spans="1:1" x14ac:dyDescent="0.35">
      <c r="A48" s="22" t="str">
        <f>+'Orçado x Realizado'!B78</f>
        <v>Comunidade Francisco</v>
      </c>
    </row>
    <row r="49" spans="1:1" x14ac:dyDescent="0.35">
      <c r="A49" s="22" t="str">
        <f>+'Orçado x Realizado'!B79</f>
        <v>Comunidade Nossa Senhora da Estrada - Sul</v>
      </c>
    </row>
    <row r="50" spans="1:1" x14ac:dyDescent="0.35">
      <c r="A50" s="22" t="str">
        <f>+'Orçado x Realizado'!B80</f>
        <v>Comunidade Nossa Senhora da Luz dos Pinhais</v>
      </c>
    </row>
    <row r="51" spans="1:1" x14ac:dyDescent="0.35">
      <c r="A51" s="22" t="str">
        <f>+'Orçado x Realizado'!B81</f>
        <v>Comunidade Nossa Senhora Medianeira</v>
      </c>
    </row>
    <row r="52" spans="1:1" x14ac:dyDescent="0.35">
      <c r="A52" s="22" t="str">
        <f>+'Orçado x Realizado'!B82</f>
        <v>Comunidade Nova Aliança</v>
      </c>
    </row>
    <row r="53" spans="1:1" x14ac:dyDescent="0.35">
      <c r="A53" s="22" t="str">
        <f>+'Orçado x Realizado'!B83</f>
        <v>Comunidade Santo André</v>
      </c>
    </row>
    <row r="54" spans="1:1" x14ac:dyDescent="0.35">
      <c r="A54" s="22" t="str">
        <f>+'Orçado x Realizado'!B84</f>
        <v>Comunidade Santo Estanislau Kostka</v>
      </c>
    </row>
    <row r="55" spans="1:1" x14ac:dyDescent="0.35">
      <c r="A55" s="22" t="str">
        <f>+'Orçado x Realizado'!B85</f>
        <v>Comunidade São José de Anchieta - Sul</v>
      </c>
    </row>
    <row r="56" spans="1:1" x14ac:dyDescent="0.35">
      <c r="A56" s="22" t="str">
        <f>+'Orçado x Realizado'!B91</f>
        <v>Doações</v>
      </c>
    </row>
    <row r="57" spans="1:1" x14ac:dyDescent="0.35">
      <c r="A57" s="22" t="str">
        <f>+'Orçado x Realizado'!B92</f>
        <v>Dia de Santo Inácio</v>
      </c>
    </row>
    <row r="58" spans="1:1" x14ac:dyDescent="0.35">
      <c r="A58" s="22" t="str">
        <f>+'Orçado x Realizado'!B93</f>
        <v>Rendimentos de Aplicação Financeira</v>
      </c>
    </row>
    <row r="59" spans="1:1" x14ac:dyDescent="0.35">
      <c r="A59" s="22" t="str">
        <f>+'Orçado x Realizado'!B94</f>
        <v>Venda de produtos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A3920-7F67-4E41-8870-93B29E82285B}">
  <sheetPr>
    <tabColor theme="8" tint="-0.249977111117893"/>
  </sheetPr>
  <dimension ref="A1:F47"/>
  <sheetViews>
    <sheetView workbookViewId="0">
      <pane ySplit="1" topLeftCell="A2" activePane="bottomLeft" state="frozen"/>
      <selection activeCell="C3" sqref="C3"/>
      <selection pane="bottomLeft" activeCell="C3" sqref="C3"/>
    </sheetView>
  </sheetViews>
  <sheetFormatPr defaultRowHeight="15.5" x14ac:dyDescent="0.35"/>
  <cols>
    <col min="1" max="1" width="2.4140625" customWidth="1"/>
    <col min="2" max="2" width="12.9140625" customWidth="1"/>
    <col min="3" max="4" width="40.83203125" customWidth="1"/>
    <col min="5" max="5" width="19.25" customWidth="1"/>
    <col min="6" max="6" width="17.58203125" customWidth="1"/>
  </cols>
  <sheetData>
    <row r="1" spans="1:6" x14ac:dyDescent="0.35">
      <c r="A1" s="5"/>
      <c r="B1" s="40" t="s">
        <v>96</v>
      </c>
      <c r="C1" s="40" t="s">
        <v>106</v>
      </c>
      <c r="D1" s="40" t="s">
        <v>105</v>
      </c>
      <c r="E1" s="40" t="s">
        <v>97</v>
      </c>
      <c r="F1" s="5"/>
    </row>
    <row r="2" spans="1:6" x14ac:dyDescent="0.35">
      <c r="A2" s="5"/>
      <c r="B2" s="53"/>
      <c r="C2" s="53"/>
      <c r="D2" s="53"/>
      <c r="E2" s="54"/>
      <c r="F2" s="5"/>
    </row>
    <row r="3" spans="1:6" x14ac:dyDescent="0.35">
      <c r="A3" s="5"/>
      <c r="B3" s="53"/>
      <c r="C3" s="53"/>
      <c r="D3" s="53"/>
      <c r="E3" s="54"/>
      <c r="F3" s="5"/>
    </row>
    <row r="4" spans="1:6" x14ac:dyDescent="0.35">
      <c r="A4" s="5"/>
      <c r="B4" s="53"/>
      <c r="C4" s="53"/>
      <c r="D4" s="53"/>
      <c r="E4" s="54"/>
      <c r="F4" s="5"/>
    </row>
    <row r="5" spans="1:6" x14ac:dyDescent="0.35">
      <c r="A5" s="5"/>
      <c r="B5" s="53"/>
      <c r="C5" s="53"/>
      <c r="D5" s="53"/>
      <c r="E5" s="54"/>
      <c r="F5" s="5"/>
    </row>
    <row r="6" spans="1:6" x14ac:dyDescent="0.35">
      <c r="A6" s="5"/>
      <c r="B6" s="53"/>
      <c r="C6" s="53"/>
      <c r="D6" s="53"/>
      <c r="E6" s="54"/>
      <c r="F6" s="5"/>
    </row>
    <row r="7" spans="1:6" x14ac:dyDescent="0.35">
      <c r="A7" s="5"/>
      <c r="B7" s="53"/>
      <c r="C7" s="53"/>
      <c r="D7" s="53"/>
      <c r="E7" s="54"/>
      <c r="F7" s="5"/>
    </row>
    <row r="8" spans="1:6" x14ac:dyDescent="0.35">
      <c r="A8" s="5"/>
      <c r="B8" s="53"/>
      <c r="C8" s="53"/>
      <c r="D8" s="53"/>
      <c r="E8" s="54"/>
      <c r="F8" s="5"/>
    </row>
    <row r="9" spans="1:6" x14ac:dyDescent="0.35">
      <c r="A9" s="5"/>
      <c r="B9" s="53"/>
      <c r="C9" s="53"/>
      <c r="D9" s="53"/>
      <c r="E9" s="54"/>
      <c r="F9" s="5"/>
    </row>
    <row r="10" spans="1:6" x14ac:dyDescent="0.35">
      <c r="A10" s="5"/>
      <c r="B10" s="53"/>
      <c r="C10" s="53"/>
      <c r="D10" s="53"/>
      <c r="E10" s="54"/>
      <c r="F10" s="5"/>
    </row>
    <row r="11" spans="1:6" x14ac:dyDescent="0.35">
      <c r="A11" s="5"/>
      <c r="B11" s="53"/>
      <c r="C11" s="53"/>
      <c r="D11" s="53"/>
      <c r="E11" s="54"/>
      <c r="F11" s="5"/>
    </row>
    <row r="12" spans="1:6" x14ac:dyDescent="0.35">
      <c r="A12" s="5"/>
      <c r="B12" s="53"/>
      <c r="C12" s="53"/>
      <c r="D12" s="53"/>
      <c r="E12" s="54"/>
      <c r="F12" s="5"/>
    </row>
    <row r="13" spans="1:6" x14ac:dyDescent="0.35">
      <c r="A13" s="5"/>
      <c r="B13" s="53"/>
      <c r="C13" s="53"/>
      <c r="D13" s="53"/>
      <c r="E13" s="54"/>
      <c r="F13" s="5"/>
    </row>
    <row r="14" spans="1:6" x14ac:dyDescent="0.35">
      <c r="A14" s="5"/>
      <c r="B14" s="53"/>
      <c r="C14" s="53"/>
      <c r="D14" s="53"/>
      <c r="E14" s="54"/>
      <c r="F14" s="5"/>
    </row>
    <row r="15" spans="1:6" x14ac:dyDescent="0.35">
      <c r="A15" s="5"/>
      <c r="B15" s="53"/>
      <c r="C15" s="53"/>
      <c r="D15" s="53"/>
      <c r="E15" s="54"/>
      <c r="F15" s="5"/>
    </row>
    <row r="16" spans="1:6" x14ac:dyDescent="0.35">
      <c r="A16" s="5"/>
      <c r="B16" s="53"/>
      <c r="C16" s="53"/>
      <c r="D16" s="53"/>
      <c r="E16" s="54"/>
      <c r="F16" s="5"/>
    </row>
    <row r="17" spans="1:6" x14ac:dyDescent="0.35">
      <c r="A17" s="5"/>
      <c r="B17" s="53"/>
      <c r="C17" s="53"/>
      <c r="D17" s="53"/>
      <c r="E17" s="54"/>
      <c r="F17" s="5"/>
    </row>
    <row r="18" spans="1:6" x14ac:dyDescent="0.35">
      <c r="A18" s="5"/>
      <c r="B18" s="53"/>
      <c r="C18" s="53"/>
      <c r="D18" s="53"/>
      <c r="E18" s="54"/>
      <c r="F18" s="5"/>
    </row>
    <row r="19" spans="1:6" x14ac:dyDescent="0.35">
      <c r="A19" s="5"/>
      <c r="B19" s="53"/>
      <c r="C19" s="53"/>
      <c r="D19" s="53"/>
      <c r="E19" s="54"/>
      <c r="F19" s="5"/>
    </row>
    <row r="20" spans="1:6" x14ac:dyDescent="0.35">
      <c r="A20" s="5"/>
      <c r="B20" s="53"/>
      <c r="C20" s="53"/>
      <c r="D20" s="53"/>
      <c r="E20" s="54"/>
      <c r="F20" s="5"/>
    </row>
    <row r="21" spans="1:6" x14ac:dyDescent="0.35">
      <c r="A21" s="5"/>
      <c r="B21" s="53"/>
      <c r="C21" s="53"/>
      <c r="D21" s="53"/>
      <c r="E21" s="54"/>
      <c r="F21" s="5"/>
    </row>
    <row r="22" spans="1:6" x14ac:dyDescent="0.35">
      <c r="A22" s="5"/>
      <c r="B22" s="53"/>
      <c r="C22" s="53"/>
      <c r="D22" s="53"/>
      <c r="E22" s="54"/>
      <c r="F22" s="5"/>
    </row>
    <row r="23" spans="1:6" x14ac:dyDescent="0.35">
      <c r="A23" s="5"/>
      <c r="B23" s="53"/>
      <c r="C23" s="53"/>
      <c r="D23" s="53"/>
      <c r="E23" s="54"/>
      <c r="F23" s="5"/>
    </row>
    <row r="24" spans="1:6" x14ac:dyDescent="0.35">
      <c r="A24" s="5"/>
      <c r="B24" s="53"/>
      <c r="C24" s="53"/>
      <c r="D24" s="53"/>
      <c r="E24" s="54"/>
      <c r="F24" s="5"/>
    </row>
    <row r="25" spans="1:6" x14ac:dyDescent="0.35">
      <c r="A25" s="5"/>
      <c r="B25" s="53"/>
      <c r="C25" s="53"/>
      <c r="D25" s="53"/>
      <c r="E25" s="54"/>
      <c r="F25" s="5"/>
    </row>
    <row r="26" spans="1:6" x14ac:dyDescent="0.35">
      <c r="A26" s="5"/>
      <c r="B26" s="53"/>
      <c r="C26" s="53"/>
      <c r="D26" s="53"/>
      <c r="E26" s="54"/>
      <c r="F26" s="5"/>
    </row>
    <row r="27" spans="1:6" x14ac:dyDescent="0.35">
      <c r="A27" s="5"/>
      <c r="B27" s="53"/>
      <c r="C27" s="53"/>
      <c r="D27" s="53"/>
      <c r="E27" s="54"/>
      <c r="F27" s="5"/>
    </row>
    <row r="28" spans="1:6" x14ac:dyDescent="0.35">
      <c r="A28" s="5"/>
      <c r="B28" s="53"/>
      <c r="C28" s="53"/>
      <c r="D28" s="53"/>
      <c r="E28" s="54"/>
      <c r="F28" s="5"/>
    </row>
    <row r="29" spans="1:6" x14ac:dyDescent="0.35">
      <c r="A29" s="5"/>
      <c r="B29" s="53"/>
      <c r="C29" s="53"/>
      <c r="D29" s="53"/>
      <c r="E29" s="54"/>
      <c r="F29" s="5"/>
    </row>
    <row r="30" spans="1:6" x14ac:dyDescent="0.35">
      <c r="A30" s="5"/>
      <c r="B30" s="53"/>
      <c r="C30" s="53"/>
      <c r="D30" s="53"/>
      <c r="E30" s="54"/>
      <c r="F30" s="5"/>
    </row>
    <row r="31" spans="1:6" x14ac:dyDescent="0.35">
      <c r="A31" s="5"/>
      <c r="B31" s="53"/>
      <c r="C31" s="53"/>
      <c r="D31" s="53"/>
      <c r="E31" s="54"/>
      <c r="F31" s="5"/>
    </row>
    <row r="32" spans="1:6" x14ac:dyDescent="0.35">
      <c r="A32" s="5"/>
      <c r="B32" s="53"/>
      <c r="C32" s="53"/>
      <c r="D32" s="53"/>
      <c r="E32" s="54"/>
      <c r="F32" s="5"/>
    </row>
    <row r="33" spans="1:6" x14ac:dyDescent="0.35">
      <c r="A33" s="5"/>
      <c r="B33" s="53"/>
      <c r="C33" s="53"/>
      <c r="D33" s="53"/>
      <c r="E33" s="54"/>
      <c r="F33" s="5"/>
    </row>
    <row r="34" spans="1:6" x14ac:dyDescent="0.35">
      <c r="A34" s="5"/>
      <c r="B34" s="53"/>
      <c r="C34" s="53"/>
      <c r="D34" s="53"/>
      <c r="E34" s="54"/>
      <c r="F34" s="5"/>
    </row>
    <row r="35" spans="1:6" x14ac:dyDescent="0.35">
      <c r="A35" s="5"/>
      <c r="B35" s="53"/>
      <c r="C35" s="53"/>
      <c r="D35" s="53"/>
      <c r="E35" s="54"/>
      <c r="F35" s="5"/>
    </row>
    <row r="36" spans="1:6" x14ac:dyDescent="0.35">
      <c r="A36" s="5"/>
      <c r="B36" s="53"/>
      <c r="C36" s="53"/>
      <c r="D36" s="53"/>
      <c r="E36" s="54"/>
      <c r="F36" s="5"/>
    </row>
    <row r="37" spans="1:6" x14ac:dyDescent="0.35">
      <c r="A37" s="5"/>
      <c r="B37" s="53"/>
      <c r="C37" s="53"/>
      <c r="D37" s="53"/>
      <c r="E37" s="54"/>
      <c r="F37" s="5"/>
    </row>
    <row r="38" spans="1:6" x14ac:dyDescent="0.35">
      <c r="A38" s="5"/>
      <c r="B38" s="53"/>
      <c r="C38" s="53"/>
      <c r="D38" s="53"/>
      <c r="E38" s="54"/>
      <c r="F38" s="5"/>
    </row>
    <row r="39" spans="1:6" x14ac:dyDescent="0.35">
      <c r="A39" s="5"/>
      <c r="B39" s="53"/>
      <c r="C39" s="53"/>
      <c r="D39" s="53"/>
      <c r="E39" s="54"/>
      <c r="F39" s="5"/>
    </row>
    <row r="40" spans="1:6" x14ac:dyDescent="0.35">
      <c r="A40" s="5"/>
      <c r="B40" s="53"/>
      <c r="C40" s="53"/>
      <c r="D40" s="53"/>
      <c r="E40" s="54"/>
      <c r="F40" s="5"/>
    </row>
    <row r="41" spans="1:6" x14ac:dyDescent="0.35">
      <c r="A41" s="5"/>
      <c r="B41" s="53"/>
      <c r="C41" s="53"/>
      <c r="D41" s="53"/>
      <c r="E41" s="54"/>
      <c r="F41" s="5"/>
    </row>
    <row r="42" spans="1:6" x14ac:dyDescent="0.35">
      <c r="A42" s="5"/>
      <c r="B42" s="53"/>
      <c r="C42" s="53"/>
      <c r="D42" s="53"/>
      <c r="E42" s="54"/>
      <c r="F42" s="5"/>
    </row>
    <row r="43" spans="1:6" x14ac:dyDescent="0.35">
      <c r="A43" s="5"/>
      <c r="B43" s="53"/>
      <c r="C43" s="53"/>
      <c r="D43" s="53"/>
      <c r="E43" s="54"/>
      <c r="F43" s="5"/>
    </row>
    <row r="44" spans="1:6" x14ac:dyDescent="0.35">
      <c r="A44" s="5"/>
      <c r="B44" s="53"/>
      <c r="C44" s="53"/>
      <c r="D44" s="53"/>
      <c r="E44" s="54"/>
      <c r="F44" s="5"/>
    </row>
    <row r="45" spans="1:6" x14ac:dyDescent="0.35">
      <c r="A45" s="5"/>
      <c r="B45" s="53"/>
      <c r="C45" s="53"/>
      <c r="D45" s="53"/>
      <c r="E45" s="54"/>
      <c r="F45" s="5"/>
    </row>
    <row r="46" spans="1:6" x14ac:dyDescent="0.35">
      <c r="A46" s="5"/>
      <c r="B46" s="53"/>
      <c r="C46" s="53"/>
      <c r="D46" s="53"/>
      <c r="E46" s="54"/>
      <c r="F46" s="5"/>
    </row>
    <row r="47" spans="1:6" x14ac:dyDescent="0.35">
      <c r="A47" s="5"/>
    </row>
  </sheetData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84B223-60F5-4F88-BDEA-90EA95BA9652}">
          <x14:formula1>
            <xm:f>Listas!$A$2:$A$59</xm:f>
          </x14:formula1>
          <xm:sqref>C2:C46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488DD-A2FE-4F88-AE9D-C50A42923655}">
  <sheetPr>
    <tabColor rgb="FF760000"/>
  </sheetPr>
  <dimension ref="A1:F51"/>
  <sheetViews>
    <sheetView workbookViewId="0">
      <pane ySplit="1" topLeftCell="A2" activePane="bottomLeft" state="frozen"/>
      <selection activeCell="D25" sqref="D25"/>
      <selection pane="bottomLeft" activeCell="C3" sqref="C3"/>
    </sheetView>
  </sheetViews>
  <sheetFormatPr defaultRowHeight="15.5" x14ac:dyDescent="0.35"/>
  <cols>
    <col min="1" max="1" width="2.4140625" customWidth="1"/>
    <col min="2" max="2" width="12.83203125" customWidth="1"/>
    <col min="3" max="4" width="40.83203125" customWidth="1"/>
    <col min="5" max="5" width="19.25" customWidth="1"/>
    <col min="6" max="6" width="17.4140625" customWidth="1"/>
  </cols>
  <sheetData>
    <row r="1" spans="1:6" x14ac:dyDescent="0.35">
      <c r="A1" s="5"/>
      <c r="B1" s="41" t="s">
        <v>96</v>
      </c>
      <c r="C1" s="42" t="s">
        <v>108</v>
      </c>
      <c r="D1" s="42" t="s">
        <v>109</v>
      </c>
      <c r="E1" s="43" t="s">
        <v>97</v>
      </c>
      <c r="F1" s="5"/>
    </row>
    <row r="2" spans="1:6" x14ac:dyDescent="0.35">
      <c r="A2" s="5"/>
      <c r="B2" s="50"/>
      <c r="C2" s="44"/>
      <c r="D2" s="45"/>
      <c r="E2" s="48"/>
      <c r="F2" s="5"/>
    </row>
    <row r="3" spans="1:6" x14ac:dyDescent="0.35">
      <c r="A3" s="5"/>
      <c r="B3" s="51"/>
      <c r="C3" s="46"/>
      <c r="D3" s="47"/>
      <c r="E3" s="49"/>
      <c r="F3" s="5"/>
    </row>
    <row r="4" spans="1:6" x14ac:dyDescent="0.35">
      <c r="A4" s="5"/>
      <c r="B4" s="52"/>
      <c r="C4" s="44"/>
      <c r="D4" s="45"/>
      <c r="E4" s="48"/>
      <c r="F4" s="5"/>
    </row>
    <row r="5" spans="1:6" x14ac:dyDescent="0.35">
      <c r="A5" s="5"/>
      <c r="B5" s="51"/>
      <c r="C5" s="46"/>
      <c r="D5" s="47"/>
      <c r="E5" s="49"/>
      <c r="F5" s="5"/>
    </row>
    <row r="6" spans="1:6" x14ac:dyDescent="0.35">
      <c r="A6" s="5"/>
      <c r="B6" s="52"/>
      <c r="C6" s="44"/>
      <c r="D6" s="45"/>
      <c r="E6" s="48"/>
      <c r="F6" s="5"/>
    </row>
    <row r="7" spans="1:6" x14ac:dyDescent="0.35">
      <c r="A7" s="5"/>
      <c r="B7" s="51"/>
      <c r="C7" s="46"/>
      <c r="D7" s="47"/>
      <c r="E7" s="49"/>
      <c r="F7" s="5"/>
    </row>
    <row r="8" spans="1:6" x14ac:dyDescent="0.35">
      <c r="A8" s="5"/>
      <c r="B8" s="52"/>
      <c r="C8" s="44"/>
      <c r="D8" s="45"/>
      <c r="E8" s="48"/>
      <c r="F8" s="5"/>
    </row>
    <row r="9" spans="1:6" x14ac:dyDescent="0.35">
      <c r="A9" s="5"/>
      <c r="B9" s="51"/>
      <c r="C9" s="46"/>
      <c r="D9" s="47"/>
      <c r="E9" s="49"/>
      <c r="F9" s="5"/>
    </row>
    <row r="10" spans="1:6" x14ac:dyDescent="0.35">
      <c r="A10" s="5"/>
      <c r="B10" s="52"/>
      <c r="C10" s="44"/>
      <c r="D10" s="45"/>
      <c r="E10" s="48"/>
      <c r="F10" s="5"/>
    </row>
    <row r="11" spans="1:6" x14ac:dyDescent="0.35">
      <c r="A11" s="5"/>
      <c r="B11" s="51"/>
      <c r="C11" s="46"/>
      <c r="D11" s="47"/>
      <c r="E11" s="49"/>
      <c r="F11" s="5"/>
    </row>
    <row r="12" spans="1:6" x14ac:dyDescent="0.35">
      <c r="A12" s="5"/>
      <c r="B12" s="52"/>
      <c r="C12" s="44"/>
      <c r="D12" s="45"/>
      <c r="E12" s="48"/>
      <c r="F12" s="5"/>
    </row>
    <row r="13" spans="1:6" x14ac:dyDescent="0.35">
      <c r="A13" s="5"/>
      <c r="B13" s="51"/>
      <c r="C13" s="46"/>
      <c r="D13" s="47"/>
      <c r="E13" s="49"/>
      <c r="F13" s="5"/>
    </row>
    <row r="14" spans="1:6" x14ac:dyDescent="0.35">
      <c r="A14" s="5"/>
      <c r="B14" s="52"/>
      <c r="C14" s="44"/>
      <c r="D14" s="45"/>
      <c r="E14" s="48"/>
      <c r="F14" s="5"/>
    </row>
    <row r="15" spans="1:6" x14ac:dyDescent="0.35">
      <c r="A15" s="5"/>
      <c r="B15" s="51"/>
      <c r="C15" s="46"/>
      <c r="D15" s="47"/>
      <c r="E15" s="49"/>
      <c r="F15" s="5"/>
    </row>
    <row r="16" spans="1:6" x14ac:dyDescent="0.35">
      <c r="A16" s="5"/>
      <c r="B16" s="52"/>
      <c r="C16" s="44"/>
      <c r="D16" s="45"/>
      <c r="E16" s="48"/>
      <c r="F16" s="5"/>
    </row>
    <row r="17" spans="1:6" x14ac:dyDescent="0.35">
      <c r="A17" s="5"/>
      <c r="B17" s="51"/>
      <c r="C17" s="46"/>
      <c r="D17" s="47"/>
      <c r="E17" s="49"/>
      <c r="F17" s="5"/>
    </row>
    <row r="18" spans="1:6" x14ac:dyDescent="0.35">
      <c r="A18" s="5"/>
      <c r="B18" s="52"/>
      <c r="C18" s="44"/>
      <c r="D18" s="45"/>
      <c r="E18" s="48"/>
      <c r="F18" s="5"/>
    </row>
    <row r="19" spans="1:6" x14ac:dyDescent="0.35">
      <c r="A19" s="5"/>
      <c r="B19" s="51"/>
      <c r="C19" s="46"/>
      <c r="D19" s="47"/>
      <c r="E19" s="49"/>
      <c r="F19" s="5"/>
    </row>
    <row r="20" spans="1:6" x14ac:dyDescent="0.35">
      <c r="A20" s="5"/>
      <c r="B20" s="52"/>
      <c r="C20" s="44"/>
      <c r="D20" s="45"/>
      <c r="E20" s="48"/>
      <c r="F20" s="5"/>
    </row>
    <row r="21" spans="1:6" x14ac:dyDescent="0.35">
      <c r="A21" s="5"/>
      <c r="B21" s="51"/>
      <c r="C21" s="46"/>
      <c r="D21" s="47"/>
      <c r="E21" s="49"/>
      <c r="F21" s="5"/>
    </row>
    <row r="22" spans="1:6" x14ac:dyDescent="0.35">
      <c r="A22" s="5"/>
      <c r="B22" s="52"/>
      <c r="C22" s="44"/>
      <c r="D22" s="45"/>
      <c r="E22" s="48"/>
      <c r="F22" s="5"/>
    </row>
    <row r="23" spans="1:6" x14ac:dyDescent="0.35">
      <c r="A23" s="5"/>
      <c r="B23" s="51"/>
      <c r="C23" s="46"/>
      <c r="D23" s="47"/>
      <c r="E23" s="49"/>
      <c r="F23" s="5"/>
    </row>
    <row r="24" spans="1:6" x14ac:dyDescent="0.35">
      <c r="A24" s="5"/>
      <c r="B24" s="52"/>
      <c r="C24" s="44"/>
      <c r="D24" s="45"/>
      <c r="E24" s="48"/>
      <c r="F24" s="5"/>
    </row>
    <row r="25" spans="1:6" x14ac:dyDescent="0.35">
      <c r="A25" s="5"/>
      <c r="B25" s="51"/>
      <c r="C25" s="46"/>
      <c r="D25" s="47"/>
      <c r="E25" s="49"/>
      <c r="F25" s="5"/>
    </row>
    <row r="26" spans="1:6" x14ac:dyDescent="0.35">
      <c r="A26" s="5"/>
      <c r="B26" s="52"/>
      <c r="C26" s="44"/>
      <c r="D26" s="45"/>
      <c r="E26" s="48"/>
      <c r="F26" s="5"/>
    </row>
    <row r="27" spans="1:6" x14ac:dyDescent="0.35">
      <c r="A27" s="5"/>
      <c r="B27" s="51"/>
      <c r="C27" s="46"/>
      <c r="D27" s="47"/>
      <c r="E27" s="49"/>
      <c r="F27" s="5"/>
    </row>
    <row r="28" spans="1:6" x14ac:dyDescent="0.35">
      <c r="A28" s="5"/>
      <c r="B28" s="52"/>
      <c r="C28" s="44"/>
      <c r="D28" s="45"/>
      <c r="E28" s="48"/>
      <c r="F28" s="5"/>
    </row>
    <row r="29" spans="1:6" x14ac:dyDescent="0.35">
      <c r="A29" s="5"/>
      <c r="B29" s="51"/>
      <c r="C29" s="46"/>
      <c r="D29" s="47"/>
      <c r="E29" s="49"/>
      <c r="F29" s="5"/>
    </row>
    <row r="30" spans="1:6" x14ac:dyDescent="0.35">
      <c r="A30" s="5"/>
      <c r="B30" s="52"/>
      <c r="C30" s="44"/>
      <c r="D30" s="45"/>
      <c r="E30" s="48"/>
      <c r="F30" s="5"/>
    </row>
    <row r="31" spans="1:6" x14ac:dyDescent="0.35">
      <c r="A31" s="5"/>
      <c r="B31" s="51"/>
      <c r="C31" s="46"/>
      <c r="D31" s="47"/>
      <c r="E31" s="49"/>
      <c r="F31" s="5"/>
    </row>
    <row r="32" spans="1:6" x14ac:dyDescent="0.35">
      <c r="A32" s="5"/>
      <c r="B32" s="52"/>
      <c r="C32" s="44"/>
      <c r="D32" s="45"/>
      <c r="E32" s="48"/>
      <c r="F32" s="5"/>
    </row>
    <row r="33" spans="1:6" x14ac:dyDescent="0.35">
      <c r="A33" s="5"/>
      <c r="B33" s="51"/>
      <c r="C33" s="46"/>
      <c r="D33" s="47"/>
      <c r="E33" s="49"/>
      <c r="F33" s="5"/>
    </row>
    <row r="34" spans="1:6" x14ac:dyDescent="0.35">
      <c r="A34" s="5"/>
      <c r="B34" s="52"/>
      <c r="C34" s="44"/>
      <c r="D34" s="45"/>
      <c r="E34" s="48"/>
      <c r="F34" s="5"/>
    </row>
    <row r="35" spans="1:6" x14ac:dyDescent="0.35">
      <c r="A35" s="5"/>
      <c r="B35" s="51"/>
      <c r="C35" s="46"/>
      <c r="D35" s="47"/>
      <c r="E35" s="49"/>
      <c r="F35" s="5"/>
    </row>
    <row r="36" spans="1:6" x14ac:dyDescent="0.35">
      <c r="A36" s="5"/>
      <c r="B36" s="52"/>
      <c r="C36" s="44"/>
      <c r="D36" s="45"/>
      <c r="E36" s="48"/>
      <c r="F36" s="5"/>
    </row>
    <row r="37" spans="1:6" x14ac:dyDescent="0.35">
      <c r="A37" s="5"/>
      <c r="B37" s="51"/>
      <c r="C37" s="46"/>
      <c r="D37" s="47"/>
      <c r="E37" s="49"/>
      <c r="F37" s="5"/>
    </row>
    <row r="38" spans="1:6" x14ac:dyDescent="0.35">
      <c r="A38" s="5"/>
      <c r="B38" s="52"/>
      <c r="C38" s="44"/>
      <c r="D38" s="45"/>
      <c r="E38" s="48"/>
      <c r="F38" s="5"/>
    </row>
    <row r="39" spans="1:6" x14ac:dyDescent="0.35">
      <c r="A39" s="5"/>
      <c r="B39" s="51"/>
      <c r="C39" s="46"/>
      <c r="D39" s="47"/>
      <c r="E39" s="49"/>
      <c r="F39" s="5"/>
    </row>
    <row r="40" spans="1:6" x14ac:dyDescent="0.35">
      <c r="A40" s="5"/>
      <c r="B40" s="52"/>
      <c r="C40" s="44"/>
      <c r="D40" s="45"/>
      <c r="E40" s="48"/>
      <c r="F40" s="5"/>
    </row>
    <row r="41" spans="1:6" x14ac:dyDescent="0.35">
      <c r="A41" s="5"/>
      <c r="B41" s="51"/>
      <c r="C41" s="46"/>
      <c r="D41" s="47"/>
      <c r="E41" s="49"/>
      <c r="F41" s="5"/>
    </row>
    <row r="42" spans="1:6" x14ac:dyDescent="0.35">
      <c r="A42" s="5"/>
      <c r="B42" s="52"/>
      <c r="C42" s="44"/>
      <c r="D42" s="45"/>
      <c r="E42" s="48"/>
      <c r="F42" s="5"/>
    </row>
    <row r="43" spans="1:6" x14ac:dyDescent="0.35">
      <c r="A43" s="5"/>
      <c r="B43" s="51"/>
      <c r="C43" s="46"/>
      <c r="D43" s="47"/>
      <c r="E43" s="49"/>
      <c r="F43" s="5"/>
    </row>
    <row r="44" spans="1:6" x14ac:dyDescent="0.35">
      <c r="A44" s="5"/>
      <c r="B44" s="52"/>
      <c r="C44" s="44"/>
      <c r="D44" s="45"/>
      <c r="E44" s="48"/>
      <c r="F44" s="5"/>
    </row>
    <row r="45" spans="1:6" x14ac:dyDescent="0.35">
      <c r="A45" s="5"/>
      <c r="B45" s="51"/>
      <c r="C45" s="46"/>
      <c r="D45" s="47"/>
      <c r="E45" s="49"/>
      <c r="F45" s="5"/>
    </row>
    <row r="46" spans="1:6" x14ac:dyDescent="0.35">
      <c r="A46" s="5"/>
      <c r="B46" s="52"/>
      <c r="C46" s="44"/>
      <c r="D46" s="45"/>
      <c r="E46" s="48"/>
      <c r="F46" s="5"/>
    </row>
    <row r="47" spans="1:6" x14ac:dyDescent="0.35">
      <c r="A47" s="5"/>
      <c r="B47" s="51"/>
      <c r="C47" s="46"/>
      <c r="D47" s="47"/>
      <c r="E47" s="49"/>
      <c r="F47" s="5"/>
    </row>
    <row r="48" spans="1:6" x14ac:dyDescent="0.35">
      <c r="B48" s="52"/>
      <c r="C48" s="44"/>
      <c r="D48" s="45"/>
      <c r="E48" s="48"/>
      <c r="F48" s="5"/>
    </row>
    <row r="49" spans="2:6" x14ac:dyDescent="0.35">
      <c r="B49" s="51"/>
      <c r="C49" s="46"/>
      <c r="D49" s="47"/>
      <c r="E49" s="49"/>
      <c r="F49" s="5"/>
    </row>
    <row r="50" spans="2:6" x14ac:dyDescent="0.35">
      <c r="B50" s="52"/>
      <c r="C50" s="44"/>
      <c r="D50" s="45"/>
      <c r="E50" s="48"/>
      <c r="F50" s="5"/>
    </row>
    <row r="51" spans="2:6" x14ac:dyDescent="0.35">
      <c r="B51" s="51"/>
      <c r="C51" s="46"/>
      <c r="D51" s="47"/>
      <c r="E51" s="49"/>
      <c r="F51" s="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6D800F-64C6-4E08-9D3A-268A3A7889B9}">
          <x14:formula1>
            <xm:f>Listas!$B$2:$B$26</xm:f>
          </x14:formula1>
          <xm:sqref>C2:C51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B52D1-B259-49F9-9BF1-9F4EB798B3F1}">
  <sheetPr>
    <tabColor rgb="FFFFFF00"/>
  </sheetPr>
  <dimension ref="A1:T60"/>
  <sheetViews>
    <sheetView workbookViewId="0">
      <pane xSplit="3" ySplit="1" topLeftCell="D29" activePane="bottomRight" state="frozen"/>
      <selection pane="topRight" activeCell="D1" sqref="D1"/>
      <selection pane="bottomLeft" activeCell="A2" sqref="A2"/>
      <selection pane="bottomRight" activeCell="L35" sqref="L35"/>
    </sheetView>
  </sheetViews>
  <sheetFormatPr defaultRowHeight="14.5" x14ac:dyDescent="0.35"/>
  <cols>
    <col min="1" max="1" width="8.6640625" style="396"/>
    <col min="2" max="2" width="24.6640625" style="396" customWidth="1"/>
    <col min="3" max="3" width="3.5" style="396" bestFit="1" customWidth="1"/>
    <col min="4" max="4" width="10.58203125" style="396" bestFit="1" customWidth="1"/>
    <col min="5" max="5" width="13.5" style="396" bestFit="1" customWidth="1"/>
    <col min="6" max="7" width="7.75" style="396" bestFit="1" customWidth="1"/>
    <col min="8" max="11" width="8.75" style="396" bestFit="1" customWidth="1"/>
    <col min="12" max="17" width="8.1640625" style="396" bestFit="1" customWidth="1"/>
    <col min="18" max="18" width="13.4140625" style="396" bestFit="1" customWidth="1"/>
    <col min="19" max="19" width="9.1640625" style="396" bestFit="1" customWidth="1"/>
    <col min="20" max="20" width="23.9140625" style="396" bestFit="1" customWidth="1"/>
    <col min="21" max="16384" width="8.6640625" style="396"/>
  </cols>
  <sheetData>
    <row r="1" spans="1:20" ht="15.5" x14ac:dyDescent="0.35">
      <c r="A1" s="389" t="s">
        <v>535</v>
      </c>
      <c r="B1" s="390" t="s">
        <v>536</v>
      </c>
      <c r="C1" s="389" t="s">
        <v>688</v>
      </c>
      <c r="D1" s="391" t="s">
        <v>537</v>
      </c>
      <c r="E1" s="391" t="s">
        <v>605</v>
      </c>
      <c r="F1" s="392" t="s">
        <v>538</v>
      </c>
      <c r="G1" s="392" t="s">
        <v>539</v>
      </c>
      <c r="H1" s="392" t="s">
        <v>540</v>
      </c>
      <c r="I1" s="392" t="s">
        <v>541</v>
      </c>
      <c r="J1" s="392" t="s">
        <v>542</v>
      </c>
      <c r="K1" s="392" t="s">
        <v>543</v>
      </c>
      <c r="L1" s="392" t="s">
        <v>544</v>
      </c>
      <c r="M1" s="392" t="s">
        <v>545</v>
      </c>
      <c r="N1" s="392" t="s">
        <v>546</v>
      </c>
      <c r="O1" s="392" t="s">
        <v>602</v>
      </c>
      <c r="P1" s="392" t="s">
        <v>603</v>
      </c>
      <c r="Q1" s="392" t="s">
        <v>604</v>
      </c>
      <c r="R1" s="393" t="s">
        <v>485</v>
      </c>
      <c r="S1" s="394" t="s">
        <v>606</v>
      </c>
      <c r="T1" s="395" t="s">
        <v>418</v>
      </c>
    </row>
    <row r="2" spans="1:20" x14ac:dyDescent="0.35">
      <c r="A2" s="397" t="s">
        <v>547</v>
      </c>
      <c r="B2" s="398" t="s">
        <v>620</v>
      </c>
      <c r="C2" s="407">
        <v>101</v>
      </c>
      <c r="D2" s="399">
        <v>100</v>
      </c>
      <c r="E2" s="399">
        <f>+D2*12</f>
        <v>1200</v>
      </c>
      <c r="F2" s="400">
        <v>100</v>
      </c>
      <c r="G2" s="401">
        <v>100</v>
      </c>
      <c r="H2" s="402">
        <v>100</v>
      </c>
      <c r="I2" s="403"/>
      <c r="J2" s="403">
        <v>200</v>
      </c>
      <c r="K2" s="403">
        <v>100</v>
      </c>
      <c r="L2" s="402">
        <v>100</v>
      </c>
      <c r="M2" s="401">
        <v>100</v>
      </c>
      <c r="N2" s="402">
        <v>100</v>
      </c>
      <c r="O2" s="402">
        <v>100</v>
      </c>
      <c r="P2" s="402">
        <v>100</v>
      </c>
      <c r="Q2" s="402">
        <v>100</v>
      </c>
      <c r="R2" s="404">
        <f>+SUM(F2:Q2)</f>
        <v>1200</v>
      </c>
      <c r="S2" s="405">
        <f>+R2-E2</f>
        <v>0</v>
      </c>
      <c r="T2" s="406"/>
    </row>
    <row r="3" spans="1:20" x14ac:dyDescent="0.35">
      <c r="A3" s="397" t="s">
        <v>547</v>
      </c>
      <c r="B3" s="398" t="s">
        <v>621</v>
      </c>
      <c r="C3" s="407">
        <v>103</v>
      </c>
      <c r="D3" s="399">
        <v>50</v>
      </c>
      <c r="E3" s="399">
        <f t="shared" ref="E3:E56" si="0">+D3*12</f>
        <v>600</v>
      </c>
      <c r="F3" s="400">
        <v>50</v>
      </c>
      <c r="G3" s="401">
        <v>50</v>
      </c>
      <c r="H3" s="402">
        <v>50</v>
      </c>
      <c r="I3" s="403">
        <v>50</v>
      </c>
      <c r="J3" s="403">
        <v>50</v>
      </c>
      <c r="K3" s="403">
        <v>50</v>
      </c>
      <c r="L3" s="402">
        <v>50</v>
      </c>
      <c r="M3" s="401">
        <v>50</v>
      </c>
      <c r="N3" s="402">
        <v>50</v>
      </c>
      <c r="O3" s="402">
        <v>50</v>
      </c>
      <c r="P3" s="402">
        <v>50</v>
      </c>
      <c r="Q3" s="402">
        <v>50</v>
      </c>
      <c r="R3" s="404">
        <f t="shared" ref="R3:R56" si="1">+SUM(F3:Q3)</f>
        <v>600</v>
      </c>
      <c r="S3" s="405">
        <f t="shared" ref="S3:S56" si="2">+R3-E3</f>
        <v>0</v>
      </c>
      <c r="T3" s="406"/>
    </row>
    <row r="4" spans="1:20" x14ac:dyDescent="0.35">
      <c r="A4" s="397" t="s">
        <v>547</v>
      </c>
      <c r="B4" s="398" t="s">
        <v>622</v>
      </c>
      <c r="C4" s="407">
        <v>104</v>
      </c>
      <c r="D4" s="399">
        <v>100</v>
      </c>
      <c r="E4" s="399">
        <f t="shared" si="0"/>
        <v>1200</v>
      </c>
      <c r="F4" s="400">
        <v>100</v>
      </c>
      <c r="G4" s="401">
        <v>100</v>
      </c>
      <c r="H4" s="402">
        <v>100</v>
      </c>
      <c r="I4" s="403">
        <v>100</v>
      </c>
      <c r="J4" s="403">
        <v>100</v>
      </c>
      <c r="K4" s="403">
        <v>100</v>
      </c>
      <c r="L4" s="402">
        <v>100</v>
      </c>
      <c r="M4" s="401">
        <v>100</v>
      </c>
      <c r="N4" s="402">
        <v>100</v>
      </c>
      <c r="O4" s="402">
        <v>100</v>
      </c>
      <c r="P4" s="402">
        <v>100</v>
      </c>
      <c r="Q4" s="402">
        <v>100</v>
      </c>
      <c r="R4" s="404">
        <f t="shared" si="1"/>
        <v>1200</v>
      </c>
      <c r="S4" s="405">
        <f t="shared" si="2"/>
        <v>0</v>
      </c>
      <c r="T4" s="406"/>
    </row>
    <row r="5" spans="1:20" x14ac:dyDescent="0.35">
      <c r="A5" s="397" t="s">
        <v>547</v>
      </c>
      <c r="B5" s="398" t="s">
        <v>623</v>
      </c>
      <c r="C5" s="407">
        <v>105</v>
      </c>
      <c r="D5" s="399">
        <v>40</v>
      </c>
      <c r="E5" s="399">
        <f t="shared" si="0"/>
        <v>480</v>
      </c>
      <c r="F5" s="400">
        <v>40</v>
      </c>
      <c r="G5" s="401">
        <v>40</v>
      </c>
      <c r="H5" s="402">
        <v>40</v>
      </c>
      <c r="I5" s="403">
        <v>40</v>
      </c>
      <c r="J5" s="403">
        <v>40</v>
      </c>
      <c r="K5" s="403">
        <v>40</v>
      </c>
      <c r="L5" s="402">
        <v>40</v>
      </c>
      <c r="M5" s="401">
        <v>40</v>
      </c>
      <c r="N5" s="402">
        <v>40</v>
      </c>
      <c r="O5" s="402">
        <v>40</v>
      </c>
      <c r="P5" s="402">
        <v>40</v>
      </c>
      <c r="Q5" s="402">
        <v>40</v>
      </c>
      <c r="R5" s="404">
        <f t="shared" si="1"/>
        <v>480</v>
      </c>
      <c r="S5" s="405">
        <f t="shared" si="2"/>
        <v>0</v>
      </c>
      <c r="T5" s="406"/>
    </row>
    <row r="6" spans="1:20" x14ac:dyDescent="0.35">
      <c r="A6" s="407" t="s">
        <v>548</v>
      </c>
      <c r="B6" s="408" t="s">
        <v>549</v>
      </c>
      <c r="C6" s="407">
        <v>201</v>
      </c>
      <c r="D6" s="399">
        <v>200</v>
      </c>
      <c r="E6" s="399">
        <f t="shared" si="0"/>
        <v>2400</v>
      </c>
      <c r="F6" s="400">
        <v>200</v>
      </c>
      <c r="G6" s="401">
        <v>200</v>
      </c>
      <c r="H6" s="402">
        <v>200</v>
      </c>
      <c r="I6" s="403">
        <v>200</v>
      </c>
      <c r="J6" s="403">
        <v>200</v>
      </c>
      <c r="K6" s="403">
        <v>200</v>
      </c>
      <c r="L6" s="402">
        <v>200</v>
      </c>
      <c r="M6" s="401">
        <v>200</v>
      </c>
      <c r="N6" s="402">
        <v>200</v>
      </c>
      <c r="O6" s="402">
        <v>200</v>
      </c>
      <c r="P6" s="402">
        <v>200</v>
      </c>
      <c r="Q6" s="402">
        <v>200</v>
      </c>
      <c r="R6" s="404">
        <f t="shared" si="1"/>
        <v>2400</v>
      </c>
      <c r="S6" s="405">
        <f t="shared" si="2"/>
        <v>0</v>
      </c>
      <c r="T6" s="406"/>
    </row>
    <row r="7" spans="1:20" x14ac:dyDescent="0.35">
      <c r="A7" s="407" t="s">
        <v>548</v>
      </c>
      <c r="B7" s="398" t="s">
        <v>624</v>
      </c>
      <c r="C7" s="407">
        <v>202</v>
      </c>
      <c r="D7" s="399">
        <v>200</v>
      </c>
      <c r="E7" s="399">
        <f t="shared" si="0"/>
        <v>2400</v>
      </c>
      <c r="F7" s="400">
        <v>200</v>
      </c>
      <c r="G7" s="401">
        <v>200</v>
      </c>
      <c r="H7" s="400">
        <v>200</v>
      </c>
      <c r="I7" s="403">
        <v>200</v>
      </c>
      <c r="J7" s="403">
        <v>200</v>
      </c>
      <c r="K7" s="403">
        <v>200</v>
      </c>
      <c r="L7" s="402">
        <v>200</v>
      </c>
      <c r="M7" s="401">
        <v>200</v>
      </c>
      <c r="N7" s="402">
        <v>200</v>
      </c>
      <c r="O7" s="402">
        <v>200</v>
      </c>
      <c r="P7" s="402">
        <v>200</v>
      </c>
      <c r="Q7" s="402">
        <v>200</v>
      </c>
      <c r="R7" s="404">
        <f t="shared" si="1"/>
        <v>2400</v>
      </c>
      <c r="S7" s="405">
        <f t="shared" si="2"/>
        <v>0</v>
      </c>
      <c r="T7" s="406"/>
    </row>
    <row r="8" spans="1:20" x14ac:dyDescent="0.35">
      <c r="A8" s="407" t="s">
        <v>548</v>
      </c>
      <c r="B8" s="398" t="s">
        <v>625</v>
      </c>
      <c r="C8" s="407">
        <v>203</v>
      </c>
      <c r="D8" s="399">
        <v>300</v>
      </c>
      <c r="E8" s="399">
        <f t="shared" si="0"/>
        <v>3600</v>
      </c>
      <c r="F8" s="400">
        <v>300</v>
      </c>
      <c r="G8" s="401">
        <v>300</v>
      </c>
      <c r="H8" s="402">
        <v>300</v>
      </c>
      <c r="I8" s="403">
        <v>300</v>
      </c>
      <c r="J8" s="403">
        <v>300</v>
      </c>
      <c r="K8" s="403">
        <v>300</v>
      </c>
      <c r="L8" s="402">
        <v>300</v>
      </c>
      <c r="M8" s="401">
        <v>300</v>
      </c>
      <c r="N8" s="402">
        <v>300</v>
      </c>
      <c r="O8" s="402">
        <v>300</v>
      </c>
      <c r="P8" s="402">
        <v>300</v>
      </c>
      <c r="Q8" s="402">
        <v>300</v>
      </c>
      <c r="R8" s="404">
        <f>+SUM(F8:Q8)</f>
        <v>3600</v>
      </c>
      <c r="S8" s="405">
        <f t="shared" si="2"/>
        <v>0</v>
      </c>
      <c r="T8" s="406"/>
    </row>
    <row r="9" spans="1:20" x14ac:dyDescent="0.35">
      <c r="A9" s="407" t="s">
        <v>548</v>
      </c>
      <c r="B9" s="398" t="s">
        <v>626</v>
      </c>
      <c r="C9" s="407">
        <v>204</v>
      </c>
      <c r="D9" s="399">
        <v>100</v>
      </c>
      <c r="E9" s="399">
        <f t="shared" si="0"/>
        <v>1200</v>
      </c>
      <c r="F9" s="400">
        <v>100</v>
      </c>
      <c r="G9" s="401">
        <v>100</v>
      </c>
      <c r="H9" s="402">
        <v>100</v>
      </c>
      <c r="I9" s="403">
        <v>100</v>
      </c>
      <c r="J9" s="403">
        <v>100</v>
      </c>
      <c r="K9" s="403">
        <v>100</v>
      </c>
      <c r="L9" s="402">
        <v>100</v>
      </c>
      <c r="M9" s="401">
        <v>100</v>
      </c>
      <c r="N9" s="402">
        <v>100</v>
      </c>
      <c r="O9" s="402">
        <v>100</v>
      </c>
      <c r="P9" s="402"/>
      <c r="Q9" s="402">
        <v>100</v>
      </c>
      <c r="R9" s="404">
        <f t="shared" si="1"/>
        <v>1100</v>
      </c>
      <c r="S9" s="405">
        <f t="shared" si="2"/>
        <v>-100</v>
      </c>
      <c r="T9" s="406"/>
    </row>
    <row r="10" spans="1:20" x14ac:dyDescent="0.35">
      <c r="A10" s="397" t="s">
        <v>550</v>
      </c>
      <c r="B10" s="398" t="s">
        <v>627</v>
      </c>
      <c r="C10" s="407">
        <v>304</v>
      </c>
      <c r="D10" s="399">
        <v>150</v>
      </c>
      <c r="E10" s="399">
        <f t="shared" si="0"/>
        <v>1800</v>
      </c>
      <c r="F10" s="400">
        <v>150</v>
      </c>
      <c r="G10" s="401">
        <v>150</v>
      </c>
      <c r="H10" s="402">
        <v>150</v>
      </c>
      <c r="I10" s="403">
        <v>150</v>
      </c>
      <c r="J10" s="403">
        <v>150</v>
      </c>
      <c r="K10" s="403">
        <v>150</v>
      </c>
      <c r="L10" s="402">
        <v>150</v>
      </c>
      <c r="M10" s="401">
        <v>150</v>
      </c>
      <c r="N10" s="402">
        <v>150</v>
      </c>
      <c r="O10" s="402">
        <v>150</v>
      </c>
      <c r="P10" s="402">
        <v>150</v>
      </c>
      <c r="Q10" s="402">
        <v>150</v>
      </c>
      <c r="R10" s="404">
        <f t="shared" si="1"/>
        <v>1800</v>
      </c>
      <c r="S10" s="405">
        <f t="shared" si="2"/>
        <v>0</v>
      </c>
      <c r="T10" s="406"/>
    </row>
    <row r="11" spans="1:20" x14ac:dyDescent="0.35">
      <c r="A11" s="397" t="s">
        <v>550</v>
      </c>
      <c r="B11" s="398" t="s">
        <v>628</v>
      </c>
      <c r="C11" s="407">
        <v>305</v>
      </c>
      <c r="D11" s="399">
        <v>50</v>
      </c>
      <c r="E11" s="399">
        <f t="shared" si="0"/>
        <v>600</v>
      </c>
      <c r="F11" s="400">
        <v>50</v>
      </c>
      <c r="G11" s="401">
        <v>50</v>
      </c>
      <c r="H11" s="402">
        <v>50</v>
      </c>
      <c r="I11" s="403">
        <v>50</v>
      </c>
      <c r="J11" s="403">
        <v>50</v>
      </c>
      <c r="K11" s="403">
        <v>50</v>
      </c>
      <c r="L11" s="402">
        <v>50</v>
      </c>
      <c r="M11" s="401">
        <v>50</v>
      </c>
      <c r="N11" s="402">
        <v>50</v>
      </c>
      <c r="O11" s="402">
        <v>50</v>
      </c>
      <c r="P11" s="402">
        <v>50</v>
      </c>
      <c r="Q11" s="402">
        <v>50</v>
      </c>
      <c r="R11" s="404">
        <f t="shared" si="1"/>
        <v>600</v>
      </c>
      <c r="S11" s="405">
        <f t="shared" si="2"/>
        <v>0</v>
      </c>
      <c r="T11" s="406"/>
    </row>
    <row r="12" spans="1:20" x14ac:dyDescent="0.35">
      <c r="A12" s="397" t="s">
        <v>550</v>
      </c>
      <c r="B12" s="398" t="s">
        <v>629</v>
      </c>
      <c r="C12" s="407">
        <v>307</v>
      </c>
      <c r="D12" s="399">
        <v>50</v>
      </c>
      <c r="E12" s="399">
        <f t="shared" si="0"/>
        <v>600</v>
      </c>
      <c r="F12" s="400">
        <v>50</v>
      </c>
      <c r="G12" s="401">
        <v>50</v>
      </c>
      <c r="H12" s="402">
        <v>50</v>
      </c>
      <c r="I12" s="403">
        <v>50</v>
      </c>
      <c r="J12" s="403">
        <v>50</v>
      </c>
      <c r="K12" s="403">
        <v>50</v>
      </c>
      <c r="L12" s="402">
        <v>50</v>
      </c>
      <c r="M12" s="401">
        <v>50</v>
      </c>
      <c r="N12" s="402">
        <v>50</v>
      </c>
      <c r="O12" s="402">
        <v>50</v>
      </c>
      <c r="P12" s="402">
        <v>50</v>
      </c>
      <c r="Q12" s="402">
        <v>50</v>
      </c>
      <c r="R12" s="404">
        <f t="shared" si="1"/>
        <v>600</v>
      </c>
      <c r="S12" s="405">
        <f t="shared" si="2"/>
        <v>0</v>
      </c>
      <c r="T12" s="406"/>
    </row>
    <row r="13" spans="1:20" x14ac:dyDescent="0.35">
      <c r="A13" s="397" t="s">
        <v>550</v>
      </c>
      <c r="B13" s="398" t="s">
        <v>630</v>
      </c>
      <c r="C13" s="407">
        <v>308</v>
      </c>
      <c r="D13" s="399">
        <v>120</v>
      </c>
      <c r="E13" s="399">
        <f t="shared" si="0"/>
        <v>1440</v>
      </c>
      <c r="F13" s="400">
        <v>120</v>
      </c>
      <c r="G13" s="401">
        <v>120</v>
      </c>
      <c r="H13" s="402">
        <v>120</v>
      </c>
      <c r="I13" s="403">
        <v>120</v>
      </c>
      <c r="J13" s="403">
        <v>120</v>
      </c>
      <c r="K13" s="403">
        <v>120</v>
      </c>
      <c r="L13" s="402">
        <v>120</v>
      </c>
      <c r="M13" s="401">
        <v>120</v>
      </c>
      <c r="N13" s="402">
        <v>120</v>
      </c>
      <c r="O13" s="402">
        <v>120</v>
      </c>
      <c r="P13" s="402">
        <v>120</v>
      </c>
      <c r="Q13" s="402">
        <v>120</v>
      </c>
      <c r="R13" s="404">
        <f t="shared" si="1"/>
        <v>1440</v>
      </c>
      <c r="S13" s="405">
        <f t="shared" si="2"/>
        <v>0</v>
      </c>
      <c r="T13" s="406"/>
    </row>
    <row r="14" spans="1:20" x14ac:dyDescent="0.35">
      <c r="A14" s="407" t="s">
        <v>551</v>
      </c>
      <c r="B14" s="398" t="s">
        <v>631</v>
      </c>
      <c r="C14" s="407">
        <v>401</v>
      </c>
      <c r="D14" s="399">
        <v>250</v>
      </c>
      <c r="E14" s="399">
        <f t="shared" si="0"/>
        <v>3000</v>
      </c>
      <c r="F14" s="400">
        <v>250</v>
      </c>
      <c r="G14" s="401"/>
      <c r="H14" s="402">
        <v>500</v>
      </c>
      <c r="I14" s="403">
        <v>250</v>
      </c>
      <c r="J14" s="403">
        <v>250</v>
      </c>
      <c r="K14" s="403">
        <v>250</v>
      </c>
      <c r="L14" s="402">
        <v>250</v>
      </c>
      <c r="M14" s="401"/>
      <c r="N14" s="402">
        <v>500</v>
      </c>
      <c r="O14" s="402"/>
      <c r="P14" s="402">
        <v>500</v>
      </c>
      <c r="Q14" s="402">
        <v>250</v>
      </c>
      <c r="R14" s="404">
        <f t="shared" si="1"/>
        <v>3000</v>
      </c>
      <c r="S14" s="405">
        <f t="shared" si="2"/>
        <v>0</v>
      </c>
      <c r="T14" s="406"/>
    </row>
    <row r="15" spans="1:20" x14ac:dyDescent="0.35">
      <c r="A15" s="407" t="s">
        <v>551</v>
      </c>
      <c r="B15" s="398" t="s">
        <v>632</v>
      </c>
      <c r="C15" s="407">
        <v>402</v>
      </c>
      <c r="D15" s="399">
        <v>180</v>
      </c>
      <c r="E15" s="399">
        <f t="shared" si="0"/>
        <v>2160</v>
      </c>
      <c r="F15" s="400">
        <v>180</v>
      </c>
      <c r="G15" s="401">
        <v>180</v>
      </c>
      <c r="H15" s="402">
        <v>180</v>
      </c>
      <c r="I15" s="403">
        <v>180</v>
      </c>
      <c r="J15" s="403">
        <v>180</v>
      </c>
      <c r="K15" s="403">
        <v>180</v>
      </c>
      <c r="L15" s="402">
        <v>180</v>
      </c>
      <c r="M15" s="401">
        <v>180</v>
      </c>
      <c r="N15" s="402">
        <v>180</v>
      </c>
      <c r="O15" s="402">
        <v>180</v>
      </c>
      <c r="P15" s="402">
        <v>180</v>
      </c>
      <c r="Q15" s="402">
        <v>180</v>
      </c>
      <c r="R15" s="404">
        <f t="shared" si="1"/>
        <v>2160</v>
      </c>
      <c r="S15" s="405">
        <f t="shared" si="2"/>
        <v>0</v>
      </c>
      <c r="T15" s="406"/>
    </row>
    <row r="16" spans="1:20" x14ac:dyDescent="0.35">
      <c r="A16" s="407" t="s">
        <v>551</v>
      </c>
      <c r="B16" s="398" t="s">
        <v>633</v>
      </c>
      <c r="C16" s="407">
        <v>403</v>
      </c>
      <c r="D16" s="399">
        <v>100</v>
      </c>
      <c r="E16" s="399">
        <f t="shared" si="0"/>
        <v>1200</v>
      </c>
      <c r="F16" s="400">
        <v>100</v>
      </c>
      <c r="G16" s="401">
        <v>100</v>
      </c>
      <c r="H16" s="402">
        <v>100</v>
      </c>
      <c r="I16" s="403">
        <v>100</v>
      </c>
      <c r="J16" s="403">
        <v>100</v>
      </c>
      <c r="K16" s="403">
        <v>100</v>
      </c>
      <c r="L16" s="402">
        <v>100</v>
      </c>
      <c r="M16" s="401">
        <v>100</v>
      </c>
      <c r="N16" s="402">
        <v>100</v>
      </c>
      <c r="O16" s="402">
        <v>100</v>
      </c>
      <c r="P16" s="402">
        <v>100</v>
      </c>
      <c r="Q16" s="402">
        <v>100</v>
      </c>
      <c r="R16" s="404">
        <f t="shared" si="1"/>
        <v>1200</v>
      </c>
      <c r="S16" s="405">
        <f t="shared" si="2"/>
        <v>0</v>
      </c>
      <c r="T16" s="406"/>
    </row>
    <row r="17" spans="1:20" x14ac:dyDescent="0.35">
      <c r="A17" s="407" t="s">
        <v>551</v>
      </c>
      <c r="B17" s="398" t="s">
        <v>634</v>
      </c>
      <c r="C17" s="407">
        <v>404</v>
      </c>
      <c r="D17" s="399">
        <v>70</v>
      </c>
      <c r="E17" s="399">
        <f t="shared" si="0"/>
        <v>840</v>
      </c>
      <c r="F17" s="400">
        <v>70</v>
      </c>
      <c r="G17" s="401">
        <v>70</v>
      </c>
      <c r="H17" s="402">
        <v>70</v>
      </c>
      <c r="I17" s="403">
        <v>70</v>
      </c>
      <c r="J17" s="403">
        <v>70</v>
      </c>
      <c r="K17" s="403">
        <v>70</v>
      </c>
      <c r="L17" s="402">
        <v>70</v>
      </c>
      <c r="M17" s="401">
        <v>70</v>
      </c>
      <c r="N17" s="402">
        <v>70</v>
      </c>
      <c r="O17" s="402">
        <v>70</v>
      </c>
      <c r="P17" s="402">
        <v>70</v>
      </c>
      <c r="Q17" s="402">
        <v>70</v>
      </c>
      <c r="R17" s="404">
        <f t="shared" si="1"/>
        <v>840</v>
      </c>
      <c r="S17" s="405">
        <f t="shared" si="2"/>
        <v>0</v>
      </c>
      <c r="T17" s="406"/>
    </row>
    <row r="18" spans="1:20" x14ac:dyDescent="0.35">
      <c r="A18" s="397" t="s">
        <v>552</v>
      </c>
      <c r="B18" s="408" t="s">
        <v>553</v>
      </c>
      <c r="C18" s="407">
        <v>501</v>
      </c>
      <c r="D18" s="399">
        <v>200</v>
      </c>
      <c r="E18" s="399">
        <f t="shared" si="0"/>
        <v>2400</v>
      </c>
      <c r="F18" s="400">
        <v>200</v>
      </c>
      <c r="G18" s="401">
        <v>200</v>
      </c>
      <c r="H18" s="402">
        <v>200</v>
      </c>
      <c r="I18" s="403">
        <v>200</v>
      </c>
      <c r="J18" s="403">
        <v>200</v>
      </c>
      <c r="K18" s="403">
        <v>200</v>
      </c>
      <c r="L18" s="402">
        <v>200</v>
      </c>
      <c r="M18" s="401">
        <v>200</v>
      </c>
      <c r="N18" s="402">
        <v>200</v>
      </c>
      <c r="O18" s="402">
        <v>200</v>
      </c>
      <c r="P18" s="402">
        <v>200</v>
      </c>
      <c r="Q18" s="402">
        <v>200</v>
      </c>
      <c r="R18" s="404">
        <f t="shared" si="1"/>
        <v>2400</v>
      </c>
      <c r="S18" s="405">
        <f t="shared" si="2"/>
        <v>0</v>
      </c>
      <c r="T18" s="406"/>
    </row>
    <row r="19" spans="1:20" x14ac:dyDescent="0.35">
      <c r="A19" s="397" t="s">
        <v>552</v>
      </c>
      <c r="B19" s="408" t="s">
        <v>554</v>
      </c>
      <c r="C19" s="407">
        <v>502</v>
      </c>
      <c r="D19" s="399">
        <v>270</v>
      </c>
      <c r="E19" s="399">
        <f t="shared" si="0"/>
        <v>3240</v>
      </c>
      <c r="F19" s="400">
        <v>270</v>
      </c>
      <c r="G19" s="401"/>
      <c r="H19" s="402">
        <v>540</v>
      </c>
      <c r="I19" s="403">
        <v>270</v>
      </c>
      <c r="J19" s="403">
        <v>270</v>
      </c>
      <c r="K19" s="403">
        <v>270</v>
      </c>
      <c r="L19" s="402">
        <v>270</v>
      </c>
      <c r="M19" s="401">
        <v>270</v>
      </c>
      <c r="N19" s="402">
        <v>270</v>
      </c>
      <c r="O19" s="402">
        <v>270</v>
      </c>
      <c r="P19" s="402">
        <v>270</v>
      </c>
      <c r="Q19" s="402">
        <v>270</v>
      </c>
      <c r="R19" s="404">
        <f t="shared" si="1"/>
        <v>3240</v>
      </c>
      <c r="S19" s="405">
        <f t="shared" si="2"/>
        <v>0</v>
      </c>
      <c r="T19" s="406"/>
    </row>
    <row r="20" spans="1:20" x14ac:dyDescent="0.35">
      <c r="A20" s="397" t="s">
        <v>552</v>
      </c>
      <c r="B20" s="408" t="s">
        <v>555</v>
      </c>
      <c r="C20" s="407">
        <v>503</v>
      </c>
      <c r="D20" s="399">
        <v>100</v>
      </c>
      <c r="E20" s="399">
        <f t="shared" si="0"/>
        <v>1200</v>
      </c>
      <c r="F20" s="400">
        <v>100</v>
      </c>
      <c r="G20" s="401">
        <v>100</v>
      </c>
      <c r="H20" s="402">
        <v>100</v>
      </c>
      <c r="I20" s="403">
        <v>100</v>
      </c>
      <c r="J20" s="403">
        <v>100</v>
      </c>
      <c r="K20" s="403">
        <v>100</v>
      </c>
      <c r="L20" s="402">
        <v>100</v>
      </c>
      <c r="M20" s="401">
        <v>100</v>
      </c>
      <c r="N20" s="402">
        <v>100</v>
      </c>
      <c r="O20" s="402">
        <v>100</v>
      </c>
      <c r="P20" s="402">
        <v>100</v>
      </c>
      <c r="Q20" s="402">
        <v>100</v>
      </c>
      <c r="R20" s="404">
        <f t="shared" si="1"/>
        <v>1200</v>
      </c>
      <c r="S20" s="405">
        <f t="shared" si="2"/>
        <v>0</v>
      </c>
      <c r="T20" s="406"/>
    </row>
    <row r="21" spans="1:20" x14ac:dyDescent="0.35">
      <c r="A21" s="397" t="s">
        <v>552</v>
      </c>
      <c r="B21" s="408" t="s">
        <v>556</v>
      </c>
      <c r="C21" s="407">
        <v>504</v>
      </c>
      <c r="D21" s="399">
        <v>250</v>
      </c>
      <c r="E21" s="399">
        <f t="shared" si="0"/>
        <v>3000</v>
      </c>
      <c r="F21" s="400">
        <v>250</v>
      </c>
      <c r="G21" s="401">
        <v>250</v>
      </c>
      <c r="H21" s="402">
        <v>250</v>
      </c>
      <c r="I21" s="403">
        <v>250</v>
      </c>
      <c r="J21" s="403">
        <v>250</v>
      </c>
      <c r="K21" s="403">
        <v>250</v>
      </c>
      <c r="L21" s="402">
        <v>250</v>
      </c>
      <c r="M21" s="401">
        <v>250</v>
      </c>
      <c r="N21" s="402">
        <v>250</v>
      </c>
      <c r="O21" s="402">
        <v>250</v>
      </c>
      <c r="P21" s="402">
        <v>250</v>
      </c>
      <c r="Q21" s="402">
        <v>250</v>
      </c>
      <c r="R21" s="404">
        <f t="shared" si="1"/>
        <v>3000</v>
      </c>
      <c r="S21" s="405">
        <f t="shared" si="2"/>
        <v>0</v>
      </c>
      <c r="T21" s="406"/>
    </row>
    <row r="22" spans="1:20" x14ac:dyDescent="0.35">
      <c r="A22" s="397" t="s">
        <v>552</v>
      </c>
      <c r="B22" s="408" t="s">
        <v>557</v>
      </c>
      <c r="C22" s="407">
        <v>505</v>
      </c>
      <c r="D22" s="399">
        <v>120</v>
      </c>
      <c r="E22" s="399">
        <f t="shared" si="0"/>
        <v>1440</v>
      </c>
      <c r="F22" s="400">
        <v>120</v>
      </c>
      <c r="G22" s="401">
        <v>120</v>
      </c>
      <c r="H22" s="402">
        <v>120</v>
      </c>
      <c r="I22" s="403">
        <v>120</v>
      </c>
      <c r="J22" s="403">
        <v>120</v>
      </c>
      <c r="K22" s="403">
        <v>120</v>
      </c>
      <c r="L22" s="402">
        <v>120</v>
      </c>
      <c r="M22" s="401">
        <v>120</v>
      </c>
      <c r="N22" s="402">
        <v>60</v>
      </c>
      <c r="O22" s="402">
        <v>60</v>
      </c>
      <c r="P22" s="402">
        <v>60</v>
      </c>
      <c r="Q22" s="402">
        <v>60</v>
      </c>
      <c r="R22" s="404">
        <f t="shared" si="1"/>
        <v>1200</v>
      </c>
      <c r="S22" s="405">
        <f t="shared" si="2"/>
        <v>-240</v>
      </c>
      <c r="T22" s="406" t="s">
        <v>558</v>
      </c>
    </row>
    <row r="23" spans="1:20" x14ac:dyDescent="0.35">
      <c r="A23" s="397" t="s">
        <v>552</v>
      </c>
      <c r="B23" s="408" t="s">
        <v>559</v>
      </c>
      <c r="C23" s="407">
        <v>506</v>
      </c>
      <c r="D23" s="399">
        <v>260</v>
      </c>
      <c r="E23" s="399">
        <f t="shared" si="0"/>
        <v>3120</v>
      </c>
      <c r="F23" s="400">
        <v>260</v>
      </c>
      <c r="G23" s="401">
        <v>260</v>
      </c>
      <c r="H23" s="402">
        <v>260</v>
      </c>
      <c r="I23" s="403">
        <v>260</v>
      </c>
      <c r="J23" s="403">
        <v>260</v>
      </c>
      <c r="K23" s="403">
        <v>260</v>
      </c>
      <c r="L23" s="402">
        <v>260</v>
      </c>
      <c r="M23" s="401">
        <v>260</v>
      </c>
      <c r="N23" s="402">
        <v>260</v>
      </c>
      <c r="O23" s="402">
        <v>260</v>
      </c>
      <c r="P23" s="402">
        <v>260</v>
      </c>
      <c r="Q23" s="402">
        <v>260</v>
      </c>
      <c r="R23" s="404">
        <f t="shared" si="1"/>
        <v>3120</v>
      </c>
      <c r="S23" s="405">
        <f t="shared" si="2"/>
        <v>0</v>
      </c>
      <c r="T23" s="406"/>
    </row>
    <row r="24" spans="1:20" x14ac:dyDescent="0.35">
      <c r="A24" s="397" t="s">
        <v>552</v>
      </c>
      <c r="B24" s="408" t="s">
        <v>560</v>
      </c>
      <c r="C24" s="407">
        <v>507</v>
      </c>
      <c r="D24" s="399">
        <v>1000</v>
      </c>
      <c r="E24" s="399">
        <f t="shared" si="0"/>
        <v>12000</v>
      </c>
      <c r="F24" s="400">
        <v>1000</v>
      </c>
      <c r="G24" s="401">
        <v>1000</v>
      </c>
      <c r="H24" s="402">
        <v>1000</v>
      </c>
      <c r="I24" s="403"/>
      <c r="J24" s="403">
        <v>2000</v>
      </c>
      <c r="K24" s="403">
        <v>1000</v>
      </c>
      <c r="L24" s="402">
        <v>1000</v>
      </c>
      <c r="M24" s="401">
        <v>1000</v>
      </c>
      <c r="N24" s="402">
        <v>1000</v>
      </c>
      <c r="O24" s="402">
        <v>1000</v>
      </c>
      <c r="P24" s="402">
        <v>1000</v>
      </c>
      <c r="Q24" s="402">
        <v>1000</v>
      </c>
      <c r="R24" s="404">
        <f t="shared" si="1"/>
        <v>12000</v>
      </c>
      <c r="S24" s="405">
        <f t="shared" si="2"/>
        <v>0</v>
      </c>
      <c r="T24" s="406"/>
    </row>
    <row r="25" spans="1:20" x14ac:dyDescent="0.35">
      <c r="A25" s="397" t="s">
        <v>552</v>
      </c>
      <c r="B25" s="408" t="s">
        <v>561</v>
      </c>
      <c r="C25" s="407">
        <v>509</v>
      </c>
      <c r="D25" s="399">
        <v>175</v>
      </c>
      <c r="E25" s="399">
        <f t="shared" si="0"/>
        <v>2100</v>
      </c>
      <c r="F25" s="400">
        <v>175</v>
      </c>
      <c r="G25" s="401">
        <v>175</v>
      </c>
      <c r="H25" s="402">
        <v>175</v>
      </c>
      <c r="I25" s="403">
        <v>175</v>
      </c>
      <c r="J25" s="403">
        <v>175</v>
      </c>
      <c r="K25" s="403">
        <v>175</v>
      </c>
      <c r="L25" s="402">
        <v>125</v>
      </c>
      <c r="M25" s="401">
        <v>150</v>
      </c>
      <c r="N25" s="402">
        <v>125</v>
      </c>
      <c r="O25" s="402">
        <v>125</v>
      </c>
      <c r="P25" s="402">
        <v>125</v>
      </c>
      <c r="Q25" s="402">
        <v>125</v>
      </c>
      <c r="R25" s="404">
        <f t="shared" si="1"/>
        <v>1825</v>
      </c>
      <c r="S25" s="405">
        <f t="shared" si="2"/>
        <v>-275</v>
      </c>
      <c r="T25" s="406" t="s">
        <v>562</v>
      </c>
    </row>
    <row r="26" spans="1:20" x14ac:dyDescent="0.35">
      <c r="A26" s="397" t="s">
        <v>552</v>
      </c>
      <c r="B26" s="408" t="s">
        <v>563</v>
      </c>
      <c r="C26" s="407">
        <v>510</v>
      </c>
      <c r="D26" s="399">
        <v>500</v>
      </c>
      <c r="E26" s="399">
        <f t="shared" si="0"/>
        <v>6000</v>
      </c>
      <c r="F26" s="400">
        <v>500</v>
      </c>
      <c r="G26" s="401">
        <v>500</v>
      </c>
      <c r="H26" s="402">
        <v>500</v>
      </c>
      <c r="I26" s="403">
        <v>500</v>
      </c>
      <c r="J26" s="403">
        <v>500</v>
      </c>
      <c r="K26" s="403">
        <v>500</v>
      </c>
      <c r="L26" s="402">
        <v>500</v>
      </c>
      <c r="M26" s="401">
        <v>500</v>
      </c>
      <c r="N26" s="402">
        <v>500</v>
      </c>
      <c r="O26" s="402">
        <v>500</v>
      </c>
      <c r="P26" s="402">
        <v>500</v>
      </c>
      <c r="Q26" s="402">
        <v>500</v>
      </c>
      <c r="R26" s="404">
        <f t="shared" si="1"/>
        <v>6000</v>
      </c>
      <c r="S26" s="405">
        <f t="shared" si="2"/>
        <v>0</v>
      </c>
      <c r="T26" s="406"/>
    </row>
    <row r="27" spans="1:20" x14ac:dyDescent="0.35">
      <c r="A27" s="397" t="s">
        <v>552</v>
      </c>
      <c r="B27" s="408" t="s">
        <v>564</v>
      </c>
      <c r="C27" s="407">
        <v>511</v>
      </c>
      <c r="D27" s="399">
        <v>30</v>
      </c>
      <c r="E27" s="399">
        <f t="shared" si="0"/>
        <v>360</v>
      </c>
      <c r="F27" s="400">
        <v>30</v>
      </c>
      <c r="G27" s="401">
        <v>30</v>
      </c>
      <c r="H27" s="402">
        <v>30</v>
      </c>
      <c r="I27" s="403">
        <v>30</v>
      </c>
      <c r="J27" s="403">
        <v>30</v>
      </c>
      <c r="K27" s="403">
        <v>30</v>
      </c>
      <c r="L27" s="402">
        <v>30</v>
      </c>
      <c r="M27" s="401">
        <v>30</v>
      </c>
      <c r="N27" s="402">
        <v>30</v>
      </c>
      <c r="O27" s="402">
        <v>30</v>
      </c>
      <c r="P27" s="402">
        <v>30</v>
      </c>
      <c r="Q27" s="402">
        <v>30</v>
      </c>
      <c r="R27" s="404">
        <f t="shared" si="1"/>
        <v>360</v>
      </c>
      <c r="S27" s="405">
        <f t="shared" si="2"/>
        <v>0</v>
      </c>
      <c r="T27" s="406"/>
    </row>
    <row r="28" spans="1:20" x14ac:dyDescent="0.35">
      <c r="A28" s="397" t="s">
        <v>552</v>
      </c>
      <c r="B28" s="408" t="s">
        <v>565</v>
      </c>
      <c r="C28" s="407">
        <v>512</v>
      </c>
      <c r="D28" s="399">
        <v>360</v>
      </c>
      <c r="E28" s="399">
        <f t="shared" si="0"/>
        <v>4320</v>
      </c>
      <c r="F28" s="400">
        <v>300</v>
      </c>
      <c r="G28" s="401"/>
      <c r="H28" s="402">
        <v>660</v>
      </c>
      <c r="I28" s="403">
        <v>300</v>
      </c>
      <c r="J28" s="403">
        <v>360</v>
      </c>
      <c r="K28" s="403">
        <v>360</v>
      </c>
      <c r="L28" s="402">
        <v>360</v>
      </c>
      <c r="M28" s="401">
        <v>360</v>
      </c>
      <c r="N28" s="402">
        <v>360</v>
      </c>
      <c r="O28" s="402"/>
      <c r="P28" s="402">
        <v>720</v>
      </c>
      <c r="Q28" s="402">
        <v>360</v>
      </c>
      <c r="R28" s="404">
        <f t="shared" si="1"/>
        <v>4140</v>
      </c>
      <c r="S28" s="405">
        <f t="shared" si="2"/>
        <v>-180</v>
      </c>
      <c r="T28" s="406"/>
    </row>
    <row r="29" spans="1:20" x14ac:dyDescent="0.35">
      <c r="A29" s="397" t="s">
        <v>552</v>
      </c>
      <c r="B29" s="408" t="s">
        <v>566</v>
      </c>
      <c r="C29" s="407">
        <v>513</v>
      </c>
      <c r="D29" s="399">
        <v>360</v>
      </c>
      <c r="E29" s="399">
        <f t="shared" si="0"/>
        <v>4320</v>
      </c>
      <c r="F29" s="400">
        <v>360</v>
      </c>
      <c r="G29" s="401">
        <v>360</v>
      </c>
      <c r="H29" s="402">
        <v>360</v>
      </c>
      <c r="I29" s="403">
        <v>360</v>
      </c>
      <c r="J29" s="403">
        <v>360</v>
      </c>
      <c r="K29" s="403">
        <v>360</v>
      </c>
      <c r="L29" s="402">
        <v>360</v>
      </c>
      <c r="M29" s="401">
        <v>360</v>
      </c>
      <c r="N29" s="402">
        <v>360</v>
      </c>
      <c r="O29" s="402">
        <v>360</v>
      </c>
      <c r="P29" s="402">
        <v>360</v>
      </c>
      <c r="Q29" s="402">
        <v>360</v>
      </c>
      <c r="R29" s="404">
        <f t="shared" si="1"/>
        <v>4320</v>
      </c>
      <c r="S29" s="405">
        <f t="shared" si="2"/>
        <v>0</v>
      </c>
      <c r="T29" s="406"/>
    </row>
    <row r="30" spans="1:20" x14ac:dyDescent="0.35">
      <c r="A30" s="397" t="s">
        <v>552</v>
      </c>
      <c r="B30" s="408" t="s">
        <v>567</v>
      </c>
      <c r="C30" s="407">
        <v>515</v>
      </c>
      <c r="D30" s="399">
        <v>360</v>
      </c>
      <c r="E30" s="399">
        <f t="shared" si="0"/>
        <v>4320</v>
      </c>
      <c r="F30" s="400">
        <v>420</v>
      </c>
      <c r="G30" s="401">
        <v>420</v>
      </c>
      <c r="H30" s="402">
        <v>300</v>
      </c>
      <c r="I30" s="403">
        <v>420</v>
      </c>
      <c r="J30" s="403">
        <v>300</v>
      </c>
      <c r="K30" s="403">
        <v>360</v>
      </c>
      <c r="L30" s="402">
        <v>360</v>
      </c>
      <c r="M30" s="401">
        <v>360</v>
      </c>
      <c r="N30" s="402">
        <v>360</v>
      </c>
      <c r="O30" s="402">
        <v>360</v>
      </c>
      <c r="P30" s="402">
        <v>360</v>
      </c>
      <c r="Q30" s="402">
        <v>360</v>
      </c>
      <c r="R30" s="404">
        <f t="shared" si="1"/>
        <v>4380</v>
      </c>
      <c r="S30" s="499">
        <f t="shared" si="2"/>
        <v>60</v>
      </c>
      <c r="T30" s="406" t="s">
        <v>568</v>
      </c>
    </row>
    <row r="31" spans="1:20" x14ac:dyDescent="0.35">
      <c r="A31" s="397" t="s">
        <v>552</v>
      </c>
      <c r="B31" s="408" t="s">
        <v>569</v>
      </c>
      <c r="C31" s="407">
        <v>516</v>
      </c>
      <c r="D31" s="399">
        <v>130</v>
      </c>
      <c r="E31" s="399">
        <f t="shared" si="0"/>
        <v>1560</v>
      </c>
      <c r="F31" s="400">
        <f>130</f>
        <v>130</v>
      </c>
      <c r="G31" s="401">
        <v>130</v>
      </c>
      <c r="H31" s="402">
        <v>130</v>
      </c>
      <c r="I31" s="403">
        <v>130</v>
      </c>
      <c r="J31" s="403">
        <v>130</v>
      </c>
      <c r="K31" s="403">
        <v>130</v>
      </c>
      <c r="L31" s="402">
        <v>130</v>
      </c>
      <c r="M31" s="401">
        <v>130</v>
      </c>
      <c r="N31" s="402">
        <v>130</v>
      </c>
      <c r="O31" s="402">
        <v>130</v>
      </c>
      <c r="P31" s="402">
        <v>130</v>
      </c>
      <c r="Q31" s="402">
        <v>130</v>
      </c>
      <c r="R31" s="404">
        <f t="shared" si="1"/>
        <v>1560</v>
      </c>
      <c r="S31" s="405">
        <f t="shared" si="2"/>
        <v>0</v>
      </c>
      <c r="T31" s="406"/>
    </row>
    <row r="32" spans="1:20" x14ac:dyDescent="0.35">
      <c r="A32" s="397" t="s">
        <v>552</v>
      </c>
      <c r="B32" s="408" t="s">
        <v>570</v>
      </c>
      <c r="C32" s="407">
        <v>517</v>
      </c>
      <c r="D32" s="399">
        <v>300</v>
      </c>
      <c r="E32" s="399">
        <f t="shared" si="0"/>
        <v>3600</v>
      </c>
      <c r="F32" s="400">
        <v>300</v>
      </c>
      <c r="G32" s="401">
        <v>300</v>
      </c>
      <c r="H32" s="402">
        <v>300</v>
      </c>
      <c r="I32" s="403">
        <v>300</v>
      </c>
      <c r="J32" s="403">
        <v>300</v>
      </c>
      <c r="K32" s="403">
        <v>300</v>
      </c>
      <c r="L32" s="402">
        <v>300</v>
      </c>
      <c r="M32" s="401">
        <v>300</v>
      </c>
      <c r="N32" s="402">
        <v>300</v>
      </c>
      <c r="O32" s="402">
        <v>300</v>
      </c>
      <c r="P32" s="402">
        <v>300</v>
      </c>
      <c r="Q32" s="402">
        <v>300</v>
      </c>
      <c r="R32" s="404">
        <f t="shared" si="1"/>
        <v>3600</v>
      </c>
      <c r="S32" s="405">
        <f t="shared" si="2"/>
        <v>0</v>
      </c>
      <c r="T32" s="406"/>
    </row>
    <row r="33" spans="1:20" x14ac:dyDescent="0.35">
      <c r="A33" s="397" t="s">
        <v>552</v>
      </c>
      <c r="B33" s="408" t="s">
        <v>571</v>
      </c>
      <c r="C33" s="407">
        <v>518</v>
      </c>
      <c r="D33" s="399">
        <v>300</v>
      </c>
      <c r="E33" s="399">
        <f t="shared" si="0"/>
        <v>3600</v>
      </c>
      <c r="F33" s="400">
        <v>180</v>
      </c>
      <c r="G33" s="401"/>
      <c r="H33" s="402">
        <v>400</v>
      </c>
      <c r="I33" s="403">
        <v>400</v>
      </c>
      <c r="J33" s="403"/>
      <c r="K33" s="403">
        <v>300</v>
      </c>
      <c r="L33" s="402">
        <v>300</v>
      </c>
      <c r="M33" s="401">
        <v>300</v>
      </c>
      <c r="N33" s="402">
        <v>300</v>
      </c>
      <c r="O33" s="402">
        <v>300</v>
      </c>
      <c r="P33" s="402">
        <v>300</v>
      </c>
      <c r="Q33" s="402">
        <v>300</v>
      </c>
      <c r="R33" s="404">
        <f t="shared" si="1"/>
        <v>3080</v>
      </c>
      <c r="S33" s="405">
        <f t="shared" si="2"/>
        <v>-520</v>
      </c>
      <c r="T33" s="406" t="s">
        <v>572</v>
      </c>
    </row>
    <row r="34" spans="1:20" x14ac:dyDescent="0.35">
      <c r="A34" s="397" t="s">
        <v>552</v>
      </c>
      <c r="B34" s="408" t="s">
        <v>573</v>
      </c>
      <c r="C34" s="407"/>
      <c r="D34" s="399">
        <v>200</v>
      </c>
      <c r="E34" s="399">
        <f t="shared" si="0"/>
        <v>2400</v>
      </c>
      <c r="F34" s="400"/>
      <c r="G34" s="401"/>
      <c r="H34" s="400"/>
      <c r="I34" s="403"/>
      <c r="J34" s="403"/>
      <c r="K34" s="403"/>
      <c r="L34" s="402"/>
      <c r="M34" s="401"/>
      <c r="N34" s="402"/>
      <c r="O34" s="402"/>
      <c r="P34" s="402"/>
      <c r="Q34" s="402"/>
      <c r="R34" s="404">
        <f t="shared" si="1"/>
        <v>0</v>
      </c>
      <c r="S34" s="405">
        <f t="shared" si="2"/>
        <v>-2400</v>
      </c>
      <c r="T34" s="406"/>
    </row>
    <row r="35" spans="1:20" x14ac:dyDescent="0.35">
      <c r="A35" s="397" t="s">
        <v>552</v>
      </c>
      <c r="B35" s="408" t="s">
        <v>574</v>
      </c>
      <c r="C35" s="407">
        <v>521</v>
      </c>
      <c r="D35" s="399">
        <v>150</v>
      </c>
      <c r="E35" s="399">
        <f t="shared" si="0"/>
        <v>1800</v>
      </c>
      <c r="F35" s="400">
        <v>150</v>
      </c>
      <c r="G35" s="401">
        <v>150</v>
      </c>
      <c r="H35" s="402">
        <v>150</v>
      </c>
      <c r="I35" s="403">
        <v>150</v>
      </c>
      <c r="J35" s="403">
        <v>150</v>
      </c>
      <c r="K35" s="403">
        <v>150</v>
      </c>
      <c r="L35" s="402">
        <v>150</v>
      </c>
      <c r="M35" s="401">
        <v>150</v>
      </c>
      <c r="N35" s="402">
        <v>150</v>
      </c>
      <c r="O35" s="402">
        <v>150</v>
      </c>
      <c r="P35" s="402">
        <v>150</v>
      </c>
      <c r="Q35" s="402">
        <v>150</v>
      </c>
      <c r="R35" s="404">
        <f t="shared" si="1"/>
        <v>1800</v>
      </c>
      <c r="S35" s="405">
        <f t="shared" si="2"/>
        <v>0</v>
      </c>
      <c r="T35" s="406"/>
    </row>
    <row r="36" spans="1:20" x14ac:dyDescent="0.35">
      <c r="A36" s="397" t="s">
        <v>552</v>
      </c>
      <c r="B36" s="408" t="s">
        <v>575</v>
      </c>
      <c r="C36" s="407">
        <v>522</v>
      </c>
      <c r="D36" s="399">
        <v>150</v>
      </c>
      <c r="E36" s="399">
        <f t="shared" si="0"/>
        <v>1800</v>
      </c>
      <c r="F36" s="400">
        <v>150</v>
      </c>
      <c r="G36" s="401">
        <v>150</v>
      </c>
      <c r="H36" s="402">
        <v>150</v>
      </c>
      <c r="I36" s="403">
        <v>150</v>
      </c>
      <c r="J36" s="403">
        <v>150</v>
      </c>
      <c r="K36" s="403">
        <v>150</v>
      </c>
      <c r="L36" s="402">
        <v>150</v>
      </c>
      <c r="M36" s="401">
        <v>150</v>
      </c>
      <c r="N36" s="402">
        <v>150</v>
      </c>
      <c r="O36" s="402">
        <v>150</v>
      </c>
      <c r="P36" s="402">
        <v>150</v>
      </c>
      <c r="Q36" s="402">
        <v>150</v>
      </c>
      <c r="R36" s="404">
        <f t="shared" si="1"/>
        <v>1800</v>
      </c>
      <c r="S36" s="405">
        <f t="shared" si="2"/>
        <v>0</v>
      </c>
      <c r="T36" s="406"/>
    </row>
    <row r="37" spans="1:20" x14ac:dyDescent="0.35">
      <c r="A37" s="407" t="s">
        <v>576</v>
      </c>
      <c r="B37" s="408" t="s">
        <v>577</v>
      </c>
      <c r="C37" s="407">
        <v>601</v>
      </c>
      <c r="D37" s="399">
        <v>60</v>
      </c>
      <c r="E37" s="399">
        <f t="shared" si="0"/>
        <v>720</v>
      </c>
      <c r="F37" s="400">
        <v>60</v>
      </c>
      <c r="G37" s="401">
        <v>60</v>
      </c>
      <c r="H37" s="402">
        <v>60</v>
      </c>
      <c r="I37" s="403">
        <v>60</v>
      </c>
      <c r="J37" s="403">
        <v>60</v>
      </c>
      <c r="K37" s="403">
        <v>60</v>
      </c>
      <c r="L37" s="402">
        <v>60</v>
      </c>
      <c r="M37" s="401">
        <v>60</v>
      </c>
      <c r="N37" s="402">
        <v>60</v>
      </c>
      <c r="O37" s="402">
        <v>60</v>
      </c>
      <c r="P37" s="402">
        <v>60</v>
      </c>
      <c r="Q37" s="402">
        <v>60</v>
      </c>
      <c r="R37" s="404">
        <f t="shared" si="1"/>
        <v>720</v>
      </c>
      <c r="S37" s="405">
        <f t="shared" si="2"/>
        <v>0</v>
      </c>
      <c r="T37" s="406"/>
    </row>
    <row r="38" spans="1:20" x14ac:dyDescent="0.35">
      <c r="A38" s="407" t="s">
        <v>576</v>
      </c>
      <c r="B38" s="408" t="s">
        <v>578</v>
      </c>
      <c r="C38" s="407">
        <v>603</v>
      </c>
      <c r="D38" s="399">
        <v>450</v>
      </c>
      <c r="E38" s="399">
        <f t="shared" si="0"/>
        <v>5400</v>
      </c>
      <c r="F38" s="400">
        <v>450</v>
      </c>
      <c r="G38" s="401">
        <v>450</v>
      </c>
      <c r="H38" s="402">
        <v>450</v>
      </c>
      <c r="I38" s="403">
        <v>450</v>
      </c>
      <c r="J38" s="403">
        <v>450</v>
      </c>
      <c r="K38" s="403">
        <v>450</v>
      </c>
      <c r="L38" s="402">
        <v>450</v>
      </c>
      <c r="M38" s="401">
        <v>450</v>
      </c>
      <c r="N38" s="402">
        <v>450</v>
      </c>
      <c r="O38" s="402">
        <v>450</v>
      </c>
      <c r="P38" s="402">
        <v>450</v>
      </c>
      <c r="Q38" s="402">
        <v>450</v>
      </c>
      <c r="R38" s="404">
        <f t="shared" si="1"/>
        <v>5400</v>
      </c>
      <c r="S38" s="405">
        <f t="shared" si="2"/>
        <v>0</v>
      </c>
      <c r="T38" s="406"/>
    </row>
    <row r="39" spans="1:20" x14ac:dyDescent="0.35">
      <c r="A39" s="407" t="s">
        <v>576</v>
      </c>
      <c r="B39" s="408" t="s">
        <v>579</v>
      </c>
      <c r="C39" s="407">
        <v>604</v>
      </c>
      <c r="D39" s="399">
        <v>150</v>
      </c>
      <c r="E39" s="399">
        <f t="shared" si="0"/>
        <v>1800</v>
      </c>
      <c r="F39" s="400">
        <v>150</v>
      </c>
      <c r="G39" s="401">
        <v>150</v>
      </c>
      <c r="H39" s="402">
        <v>150</v>
      </c>
      <c r="I39" s="403">
        <v>150</v>
      </c>
      <c r="J39" s="403">
        <v>150</v>
      </c>
      <c r="K39" s="403">
        <v>150</v>
      </c>
      <c r="L39" s="402">
        <v>150</v>
      </c>
      <c r="M39" s="401"/>
      <c r="N39" s="402">
        <v>300</v>
      </c>
      <c r="O39" s="402">
        <v>150</v>
      </c>
      <c r="P39" s="402">
        <v>150</v>
      </c>
      <c r="Q39" s="402">
        <v>150</v>
      </c>
      <c r="R39" s="404">
        <f t="shared" si="1"/>
        <v>1800</v>
      </c>
      <c r="S39" s="405">
        <f t="shared" si="2"/>
        <v>0</v>
      </c>
      <c r="T39" s="406"/>
    </row>
    <row r="40" spans="1:20" x14ac:dyDescent="0.35">
      <c r="A40" s="407" t="s">
        <v>576</v>
      </c>
      <c r="B40" s="409" t="s">
        <v>580</v>
      </c>
      <c r="C40" s="407"/>
      <c r="D40" s="399">
        <v>80</v>
      </c>
      <c r="E40" s="399">
        <f t="shared" si="0"/>
        <v>960</v>
      </c>
      <c r="F40" s="400">
        <v>80</v>
      </c>
      <c r="G40" s="400">
        <v>80</v>
      </c>
      <c r="H40" s="400">
        <v>80</v>
      </c>
      <c r="I40" s="400">
        <v>80</v>
      </c>
      <c r="J40" s="400">
        <v>80</v>
      </c>
      <c r="K40" s="400">
        <v>80</v>
      </c>
      <c r="L40" s="400">
        <v>80</v>
      </c>
      <c r="M40" s="517" t="s">
        <v>712</v>
      </c>
      <c r="N40" s="518"/>
      <c r="O40" s="518"/>
      <c r="P40" s="518"/>
      <c r="Q40" s="519"/>
      <c r="R40" s="500">
        <f t="shared" si="1"/>
        <v>560</v>
      </c>
      <c r="S40" s="501">
        <f t="shared" si="2"/>
        <v>-400</v>
      </c>
      <c r="T40" s="502"/>
    </row>
    <row r="41" spans="1:20" x14ac:dyDescent="0.35">
      <c r="A41" s="407" t="s">
        <v>576</v>
      </c>
      <c r="B41" s="408" t="s">
        <v>581</v>
      </c>
      <c r="C41" s="407">
        <v>606</v>
      </c>
      <c r="D41" s="399">
        <v>210</v>
      </c>
      <c r="E41" s="399">
        <f t="shared" si="0"/>
        <v>2520</v>
      </c>
      <c r="F41" s="400">
        <v>210</v>
      </c>
      <c r="G41" s="401">
        <v>210</v>
      </c>
      <c r="H41" s="402">
        <v>210</v>
      </c>
      <c r="I41" s="403">
        <v>210</v>
      </c>
      <c r="J41" s="403">
        <v>210</v>
      </c>
      <c r="K41" s="403">
        <v>210</v>
      </c>
      <c r="L41" s="402">
        <v>210</v>
      </c>
      <c r="M41" s="401">
        <v>210</v>
      </c>
      <c r="N41" s="402">
        <v>210</v>
      </c>
      <c r="O41" s="402">
        <v>210</v>
      </c>
      <c r="P41" s="402">
        <v>210</v>
      </c>
      <c r="Q41" s="402">
        <v>210</v>
      </c>
      <c r="R41" s="404">
        <f t="shared" si="1"/>
        <v>2520</v>
      </c>
      <c r="S41" s="405">
        <f t="shared" si="2"/>
        <v>0</v>
      </c>
      <c r="T41" s="406"/>
    </row>
    <row r="42" spans="1:20" x14ac:dyDescent="0.35">
      <c r="A42" s="407" t="s">
        <v>576</v>
      </c>
      <c r="B42" s="408" t="s">
        <v>582</v>
      </c>
      <c r="C42" s="407">
        <v>607</v>
      </c>
      <c r="D42" s="399">
        <v>800</v>
      </c>
      <c r="E42" s="399">
        <f t="shared" si="0"/>
        <v>9600</v>
      </c>
      <c r="F42" s="400">
        <v>750</v>
      </c>
      <c r="G42" s="401">
        <v>800</v>
      </c>
      <c r="H42" s="402">
        <v>750</v>
      </c>
      <c r="I42" s="403">
        <v>850</v>
      </c>
      <c r="J42" s="403">
        <v>800</v>
      </c>
      <c r="K42" s="403">
        <v>800</v>
      </c>
      <c r="L42" s="402">
        <v>800</v>
      </c>
      <c r="M42" s="401">
        <v>800</v>
      </c>
      <c r="N42" s="402">
        <v>800</v>
      </c>
      <c r="O42" s="402">
        <v>800</v>
      </c>
      <c r="P42" s="402">
        <v>800</v>
      </c>
      <c r="Q42" s="402">
        <v>1400</v>
      </c>
      <c r="R42" s="404">
        <f t="shared" si="1"/>
        <v>10150</v>
      </c>
      <c r="S42" s="499">
        <f t="shared" si="2"/>
        <v>550</v>
      </c>
      <c r="T42" s="406"/>
    </row>
    <row r="43" spans="1:20" x14ac:dyDescent="0.35">
      <c r="A43" s="407" t="s">
        <v>576</v>
      </c>
      <c r="B43" s="408" t="s">
        <v>583</v>
      </c>
      <c r="C43" s="407">
        <v>608</v>
      </c>
      <c r="D43" s="399">
        <v>190</v>
      </c>
      <c r="E43" s="399">
        <f t="shared" si="0"/>
        <v>2280</v>
      </c>
      <c r="F43" s="400">
        <v>190</v>
      </c>
      <c r="G43" s="401">
        <v>190</v>
      </c>
      <c r="H43" s="402">
        <v>190</v>
      </c>
      <c r="I43" s="403">
        <v>190</v>
      </c>
      <c r="J43" s="403">
        <v>190</v>
      </c>
      <c r="K43" s="403">
        <v>190</v>
      </c>
      <c r="L43" s="402">
        <v>190</v>
      </c>
      <c r="M43" s="401">
        <v>190</v>
      </c>
      <c r="N43" s="402">
        <v>190</v>
      </c>
      <c r="O43" s="402">
        <v>190</v>
      </c>
      <c r="P43" s="402">
        <v>190</v>
      </c>
      <c r="Q43" s="402">
        <v>190</v>
      </c>
      <c r="R43" s="404">
        <f t="shared" si="1"/>
        <v>2280</v>
      </c>
      <c r="S43" s="405">
        <f t="shared" si="2"/>
        <v>0</v>
      </c>
      <c r="T43" s="406"/>
    </row>
    <row r="44" spans="1:20" x14ac:dyDescent="0.35">
      <c r="A44" s="407" t="s">
        <v>576</v>
      </c>
      <c r="B44" s="408" t="s">
        <v>584</v>
      </c>
      <c r="C44" s="407">
        <v>609</v>
      </c>
      <c r="D44" s="399">
        <v>90</v>
      </c>
      <c r="E44" s="399">
        <f t="shared" si="0"/>
        <v>1080</v>
      </c>
      <c r="F44" s="400">
        <v>90</v>
      </c>
      <c r="G44" s="401">
        <v>90</v>
      </c>
      <c r="H44" s="402">
        <v>90</v>
      </c>
      <c r="I44" s="403">
        <v>90</v>
      </c>
      <c r="J44" s="403">
        <v>90</v>
      </c>
      <c r="K44" s="403">
        <v>90</v>
      </c>
      <c r="L44" s="402">
        <v>90</v>
      </c>
      <c r="M44" s="401">
        <v>90</v>
      </c>
      <c r="N44" s="402">
        <v>90</v>
      </c>
      <c r="O44" s="402">
        <v>90</v>
      </c>
      <c r="P44" s="402">
        <v>90</v>
      </c>
      <c r="Q44" s="402">
        <v>90</v>
      </c>
      <c r="R44" s="404">
        <f t="shared" si="1"/>
        <v>1080</v>
      </c>
      <c r="S44" s="405">
        <f t="shared" si="2"/>
        <v>0</v>
      </c>
      <c r="T44" s="406"/>
    </row>
    <row r="45" spans="1:20" x14ac:dyDescent="0.35">
      <c r="A45" s="407" t="s">
        <v>576</v>
      </c>
      <c r="B45" s="408" t="s">
        <v>585</v>
      </c>
      <c r="C45" s="407">
        <v>610</v>
      </c>
      <c r="D45" s="399">
        <v>60</v>
      </c>
      <c r="E45" s="399">
        <f t="shared" si="0"/>
        <v>720</v>
      </c>
      <c r="F45" s="400">
        <v>60</v>
      </c>
      <c r="G45" s="401">
        <v>60</v>
      </c>
      <c r="H45" s="402">
        <v>60</v>
      </c>
      <c r="I45" s="403">
        <v>60</v>
      </c>
      <c r="J45" s="403">
        <v>60</v>
      </c>
      <c r="K45" s="403">
        <v>60</v>
      </c>
      <c r="L45" s="402">
        <v>60</v>
      </c>
      <c r="M45" s="401">
        <v>60</v>
      </c>
      <c r="N45" s="402">
        <v>60</v>
      </c>
      <c r="O45" s="402">
        <v>60</v>
      </c>
      <c r="P45" s="402">
        <v>60</v>
      </c>
      <c r="Q45" s="402">
        <v>60</v>
      </c>
      <c r="R45" s="404">
        <f t="shared" si="1"/>
        <v>720</v>
      </c>
      <c r="S45" s="405">
        <f t="shared" si="2"/>
        <v>0</v>
      </c>
      <c r="T45" s="406"/>
    </row>
    <row r="46" spans="1:20" x14ac:dyDescent="0.35">
      <c r="A46" s="407" t="s">
        <v>576</v>
      </c>
      <c r="B46" s="408" t="s">
        <v>586</v>
      </c>
      <c r="C46" s="407">
        <v>611</v>
      </c>
      <c r="D46" s="399">
        <v>50</v>
      </c>
      <c r="E46" s="399">
        <f>+D46*7</f>
        <v>350</v>
      </c>
      <c r="F46" s="400"/>
      <c r="G46" s="401"/>
      <c r="H46" s="402"/>
      <c r="I46" s="403"/>
      <c r="J46" s="403"/>
      <c r="K46" s="403">
        <v>50</v>
      </c>
      <c r="L46" s="402">
        <v>50</v>
      </c>
      <c r="M46" s="401">
        <v>50</v>
      </c>
      <c r="N46" s="402"/>
      <c r="O46" s="402">
        <v>100</v>
      </c>
      <c r="P46" s="402">
        <v>50</v>
      </c>
      <c r="Q46" s="402">
        <v>50</v>
      </c>
      <c r="R46" s="404">
        <f t="shared" si="1"/>
        <v>350</v>
      </c>
      <c r="S46" s="405">
        <f t="shared" si="2"/>
        <v>0</v>
      </c>
      <c r="T46" s="406" t="s">
        <v>587</v>
      </c>
    </row>
    <row r="47" spans="1:20" x14ac:dyDescent="0.35">
      <c r="A47" s="397" t="s">
        <v>588</v>
      </c>
      <c r="B47" s="408" t="s">
        <v>589</v>
      </c>
      <c r="C47" s="407">
        <v>701</v>
      </c>
      <c r="D47" s="399">
        <v>70</v>
      </c>
      <c r="E47" s="399">
        <f t="shared" si="0"/>
        <v>840</v>
      </c>
      <c r="F47" s="400">
        <v>70</v>
      </c>
      <c r="G47" s="401">
        <v>70</v>
      </c>
      <c r="H47" s="402">
        <v>70</v>
      </c>
      <c r="I47" s="403">
        <v>70</v>
      </c>
      <c r="J47" s="403">
        <v>70</v>
      </c>
      <c r="K47" s="403">
        <v>70</v>
      </c>
      <c r="L47" s="402">
        <v>70</v>
      </c>
      <c r="M47" s="401">
        <v>70</v>
      </c>
      <c r="N47" s="402">
        <v>70</v>
      </c>
      <c r="O47" s="402">
        <v>70</v>
      </c>
      <c r="P47" s="402">
        <v>70</v>
      </c>
      <c r="Q47" s="402">
        <v>70</v>
      </c>
      <c r="R47" s="404">
        <f t="shared" si="1"/>
        <v>840</v>
      </c>
      <c r="S47" s="405">
        <f t="shared" si="2"/>
        <v>0</v>
      </c>
      <c r="T47" s="406"/>
    </row>
    <row r="48" spans="1:20" x14ac:dyDescent="0.35">
      <c r="A48" s="397" t="s">
        <v>588</v>
      </c>
      <c r="B48" s="408" t="s">
        <v>590</v>
      </c>
      <c r="C48" s="407">
        <v>702</v>
      </c>
      <c r="D48" s="399">
        <v>42</v>
      </c>
      <c r="E48" s="399">
        <f t="shared" si="0"/>
        <v>504</v>
      </c>
      <c r="F48" s="400">
        <v>62.999999999999993</v>
      </c>
      <c r="G48" s="401">
        <v>60</v>
      </c>
      <c r="H48" s="402">
        <v>24</v>
      </c>
      <c r="I48" s="403">
        <v>42</v>
      </c>
      <c r="J48" s="403">
        <v>42</v>
      </c>
      <c r="K48" s="403">
        <v>42</v>
      </c>
      <c r="L48" s="402">
        <v>42</v>
      </c>
      <c r="M48" s="401">
        <v>42</v>
      </c>
      <c r="N48" s="402">
        <v>42</v>
      </c>
      <c r="O48" s="402">
        <v>42</v>
      </c>
      <c r="P48" s="402">
        <v>42</v>
      </c>
      <c r="Q48" s="402">
        <v>42</v>
      </c>
      <c r="R48" s="404">
        <f t="shared" si="1"/>
        <v>525</v>
      </c>
      <c r="S48" s="499">
        <f t="shared" si="2"/>
        <v>21</v>
      </c>
      <c r="T48" s="406"/>
    </row>
    <row r="49" spans="1:20" x14ac:dyDescent="0.35">
      <c r="A49" s="397" t="s">
        <v>588</v>
      </c>
      <c r="B49" s="408" t="s">
        <v>591</v>
      </c>
      <c r="C49" s="407">
        <v>703</v>
      </c>
      <c r="D49" s="399">
        <v>140</v>
      </c>
      <c r="E49" s="399">
        <f t="shared" si="0"/>
        <v>1680</v>
      </c>
      <c r="F49" s="400"/>
      <c r="G49" s="401">
        <v>140</v>
      </c>
      <c r="H49" s="402">
        <v>140</v>
      </c>
      <c r="I49" s="403">
        <v>140</v>
      </c>
      <c r="J49" s="403">
        <v>140</v>
      </c>
      <c r="K49" s="403">
        <v>140</v>
      </c>
      <c r="L49" s="402">
        <v>140</v>
      </c>
      <c r="M49" s="401">
        <v>140</v>
      </c>
      <c r="N49" s="402">
        <v>140</v>
      </c>
      <c r="O49" s="402">
        <v>140</v>
      </c>
      <c r="P49" s="402">
        <v>140</v>
      </c>
      <c r="Q49" s="402">
        <v>140</v>
      </c>
      <c r="R49" s="404">
        <f t="shared" si="1"/>
        <v>1540</v>
      </c>
      <c r="S49" s="405">
        <f t="shared" si="2"/>
        <v>-140</v>
      </c>
      <c r="T49" s="406"/>
    </row>
    <row r="50" spans="1:20" x14ac:dyDescent="0.35">
      <c r="A50" s="397" t="s">
        <v>588</v>
      </c>
      <c r="B50" s="408" t="s">
        <v>592</v>
      </c>
      <c r="C50" s="407">
        <v>704</v>
      </c>
      <c r="D50" s="399">
        <v>150</v>
      </c>
      <c r="E50" s="399">
        <f t="shared" si="0"/>
        <v>1800</v>
      </c>
      <c r="F50" s="400">
        <v>150</v>
      </c>
      <c r="G50" s="401">
        <v>150</v>
      </c>
      <c r="H50" s="402">
        <v>150</v>
      </c>
      <c r="I50" s="403">
        <v>150</v>
      </c>
      <c r="J50" s="403">
        <v>150</v>
      </c>
      <c r="K50" s="403">
        <v>150</v>
      </c>
      <c r="L50" s="402">
        <v>150</v>
      </c>
      <c r="M50" s="401">
        <v>150</v>
      </c>
      <c r="N50" s="402">
        <v>150</v>
      </c>
      <c r="O50" s="402">
        <v>150</v>
      </c>
      <c r="P50" s="402">
        <v>150</v>
      </c>
      <c r="Q50" s="402">
        <v>150</v>
      </c>
      <c r="R50" s="404">
        <f t="shared" si="1"/>
        <v>1800</v>
      </c>
      <c r="S50" s="405">
        <f t="shared" si="2"/>
        <v>0</v>
      </c>
      <c r="T50" s="406"/>
    </row>
    <row r="51" spans="1:20" x14ac:dyDescent="0.35">
      <c r="A51" s="397" t="s">
        <v>588</v>
      </c>
      <c r="B51" s="408" t="s">
        <v>593</v>
      </c>
      <c r="C51" s="407">
        <v>705</v>
      </c>
      <c r="D51" s="399">
        <v>70</v>
      </c>
      <c r="E51" s="399">
        <f t="shared" si="0"/>
        <v>840</v>
      </c>
      <c r="F51" s="400">
        <v>70</v>
      </c>
      <c r="G51" s="401">
        <v>70</v>
      </c>
      <c r="H51" s="402"/>
      <c r="I51" s="403">
        <v>70</v>
      </c>
      <c r="J51" s="403">
        <v>70</v>
      </c>
      <c r="K51" s="403">
        <v>70</v>
      </c>
      <c r="L51" s="402">
        <v>70</v>
      </c>
      <c r="M51" s="401">
        <v>70</v>
      </c>
      <c r="N51" s="402">
        <v>70</v>
      </c>
      <c r="O51" s="402"/>
      <c r="P51" s="402">
        <v>140</v>
      </c>
      <c r="Q51" s="402"/>
      <c r="R51" s="404">
        <f t="shared" si="1"/>
        <v>700</v>
      </c>
      <c r="S51" s="405">
        <f t="shared" si="2"/>
        <v>-140</v>
      </c>
      <c r="T51" s="406"/>
    </row>
    <row r="52" spans="1:20" x14ac:dyDescent="0.35">
      <c r="A52" s="397" t="s">
        <v>588</v>
      </c>
      <c r="B52" s="408" t="s">
        <v>594</v>
      </c>
      <c r="C52" s="407">
        <v>706</v>
      </c>
      <c r="D52" s="399">
        <v>99</v>
      </c>
      <c r="E52" s="399">
        <f t="shared" si="0"/>
        <v>1188</v>
      </c>
      <c r="F52" s="400">
        <v>99</v>
      </c>
      <c r="G52" s="401">
        <v>99</v>
      </c>
      <c r="H52" s="402">
        <v>99</v>
      </c>
      <c r="I52" s="403">
        <v>99</v>
      </c>
      <c r="J52" s="403">
        <v>99</v>
      </c>
      <c r="K52" s="403">
        <v>99</v>
      </c>
      <c r="L52" s="402">
        <v>99</v>
      </c>
      <c r="M52" s="401">
        <v>99</v>
      </c>
      <c r="N52" s="402">
        <v>99</v>
      </c>
      <c r="O52" s="402">
        <v>99</v>
      </c>
      <c r="P52" s="402">
        <v>99</v>
      </c>
      <c r="Q52" s="402">
        <v>99</v>
      </c>
      <c r="R52" s="404">
        <f t="shared" si="1"/>
        <v>1188</v>
      </c>
      <c r="S52" s="405">
        <f t="shared" si="2"/>
        <v>0</v>
      </c>
      <c r="T52" s="406"/>
    </row>
    <row r="53" spans="1:20" x14ac:dyDescent="0.35">
      <c r="A53" s="410" t="s">
        <v>588</v>
      </c>
      <c r="B53" s="411" t="s">
        <v>595</v>
      </c>
      <c r="C53" s="493">
        <v>707</v>
      </c>
      <c r="D53" s="399">
        <v>195</v>
      </c>
      <c r="E53" s="399">
        <f t="shared" si="0"/>
        <v>2340</v>
      </c>
      <c r="F53" s="400">
        <v>195</v>
      </c>
      <c r="G53" s="401">
        <v>195</v>
      </c>
      <c r="H53" s="402">
        <v>195</v>
      </c>
      <c r="I53" s="403">
        <v>195</v>
      </c>
      <c r="J53" s="403">
        <v>195</v>
      </c>
      <c r="K53" s="403">
        <v>195</v>
      </c>
      <c r="L53" s="402">
        <v>195</v>
      </c>
      <c r="M53" s="401">
        <v>195</v>
      </c>
      <c r="N53" s="402">
        <v>195</v>
      </c>
      <c r="O53" s="402">
        <v>195</v>
      </c>
      <c r="P53" s="402">
        <v>195</v>
      </c>
      <c r="Q53" s="402">
        <v>195</v>
      </c>
      <c r="R53" s="404">
        <f t="shared" si="1"/>
        <v>2340</v>
      </c>
      <c r="S53" s="405">
        <f t="shared" si="2"/>
        <v>0</v>
      </c>
      <c r="T53" s="406"/>
    </row>
    <row r="54" spans="1:20" x14ac:dyDescent="0.35">
      <c r="A54" s="397" t="s">
        <v>588</v>
      </c>
      <c r="B54" s="408" t="s">
        <v>596</v>
      </c>
      <c r="C54" s="407"/>
      <c r="D54" s="399">
        <v>128.99999999999997</v>
      </c>
      <c r="E54" s="399">
        <f t="shared" si="0"/>
        <v>1547.9999999999995</v>
      </c>
      <c r="F54" s="400">
        <v>129</v>
      </c>
      <c r="G54" s="401"/>
      <c r="H54" s="402">
        <v>258</v>
      </c>
      <c r="I54" s="403">
        <v>129</v>
      </c>
      <c r="J54" s="403"/>
      <c r="K54" s="403">
        <v>258</v>
      </c>
      <c r="L54" s="402">
        <v>129</v>
      </c>
      <c r="M54" s="401">
        <v>129</v>
      </c>
      <c r="N54" s="402"/>
      <c r="O54" s="402"/>
      <c r="P54" s="402"/>
      <c r="Q54" s="402"/>
      <c r="R54" s="404">
        <f t="shared" si="1"/>
        <v>1032</v>
      </c>
      <c r="S54" s="405">
        <f t="shared" si="2"/>
        <v>-515.99999999999955</v>
      </c>
      <c r="T54" s="406"/>
    </row>
    <row r="55" spans="1:20" x14ac:dyDescent="0.35">
      <c r="A55" s="397" t="s">
        <v>588</v>
      </c>
      <c r="B55" s="408" t="s">
        <v>597</v>
      </c>
      <c r="C55" s="407"/>
      <c r="D55" s="412">
        <v>98</v>
      </c>
      <c r="E55" s="399">
        <f t="shared" si="0"/>
        <v>1176</v>
      </c>
      <c r="F55" s="400"/>
      <c r="G55" s="401"/>
      <c r="H55" s="402"/>
      <c r="I55" s="403">
        <v>98</v>
      </c>
      <c r="J55" s="403">
        <v>98</v>
      </c>
      <c r="K55" s="403"/>
      <c r="L55" s="402"/>
      <c r="M55" s="401">
        <v>294</v>
      </c>
      <c r="N55" s="402">
        <v>98</v>
      </c>
      <c r="O55" s="402"/>
      <c r="P55" s="402"/>
      <c r="Q55" s="402"/>
      <c r="R55" s="404">
        <f t="shared" si="1"/>
        <v>588</v>
      </c>
      <c r="S55" s="405">
        <f t="shared" si="2"/>
        <v>-588</v>
      </c>
      <c r="T55" s="406"/>
    </row>
    <row r="56" spans="1:20" x14ac:dyDescent="0.35">
      <c r="A56" s="397" t="s">
        <v>588</v>
      </c>
      <c r="B56" s="413" t="s">
        <v>598</v>
      </c>
      <c r="C56" s="407">
        <v>710</v>
      </c>
      <c r="D56" s="412">
        <v>168</v>
      </c>
      <c r="E56" s="399">
        <f t="shared" si="0"/>
        <v>2016</v>
      </c>
      <c r="F56" s="400"/>
      <c r="G56" s="401"/>
      <c r="H56" s="402"/>
      <c r="I56" s="403"/>
      <c r="J56" s="403">
        <v>210</v>
      </c>
      <c r="K56" s="403">
        <v>168</v>
      </c>
      <c r="L56" s="402">
        <v>168</v>
      </c>
      <c r="M56" s="401">
        <v>168</v>
      </c>
      <c r="N56" s="402">
        <v>140</v>
      </c>
      <c r="O56" s="402">
        <v>140</v>
      </c>
      <c r="P56" s="402">
        <v>140</v>
      </c>
      <c r="Q56" s="402">
        <v>140</v>
      </c>
      <c r="R56" s="404">
        <f t="shared" si="1"/>
        <v>1274</v>
      </c>
      <c r="S56" s="405">
        <f t="shared" si="2"/>
        <v>-742</v>
      </c>
      <c r="T56" s="406" t="s">
        <v>608</v>
      </c>
    </row>
    <row r="57" spans="1:20" x14ac:dyDescent="0.35">
      <c r="A57" s="414"/>
      <c r="B57" s="415" t="s">
        <v>599</v>
      </c>
      <c r="C57" s="414"/>
      <c r="D57" s="416">
        <f>SUM(D2:D56)</f>
        <v>10576</v>
      </c>
      <c r="E57" s="416">
        <f>SUM(E2:E56)</f>
        <v>126662</v>
      </c>
      <c r="F57" s="417">
        <f>SUM(F2:F55)</f>
        <v>9771</v>
      </c>
      <c r="G57" s="417">
        <f>SUM(G2:G55)</f>
        <v>8829</v>
      </c>
      <c r="H57" s="417">
        <f>SUM(H2:H55)</f>
        <v>10911</v>
      </c>
      <c r="I57" s="417">
        <f>SUM(I2:I55)</f>
        <v>9208</v>
      </c>
      <c r="J57" s="417">
        <f t="shared" ref="J57:O57" si="3">SUM(J2:J56)</f>
        <v>10979</v>
      </c>
      <c r="K57" s="417">
        <f t="shared" si="3"/>
        <v>10407</v>
      </c>
      <c r="L57" s="417">
        <f t="shared" si="3"/>
        <v>10228</v>
      </c>
      <c r="M57" s="417">
        <f t="shared" si="3"/>
        <v>10067</v>
      </c>
      <c r="N57" s="417">
        <f t="shared" si="3"/>
        <v>10379</v>
      </c>
      <c r="O57" s="417">
        <f t="shared" si="3"/>
        <v>9301</v>
      </c>
      <c r="P57" s="417">
        <f t="shared" ref="P57:Q57" si="4">SUM(P2:P56)</f>
        <v>10511</v>
      </c>
      <c r="Q57" s="417">
        <f t="shared" si="4"/>
        <v>10461</v>
      </c>
      <c r="R57" s="418">
        <f t="shared" ref="R57" si="5">SUM(R2:R56)</f>
        <v>121052</v>
      </c>
      <c r="S57" s="419">
        <f t="shared" ref="S57" si="6">SUM(S2:S56)</f>
        <v>-5610</v>
      </c>
      <c r="T57" s="417"/>
    </row>
    <row r="59" spans="1:20" x14ac:dyDescent="0.35">
      <c r="A59" s="420" t="s">
        <v>600</v>
      </c>
      <c r="C59" s="494"/>
    </row>
    <row r="60" spans="1:20" x14ac:dyDescent="0.35">
      <c r="A60" s="420" t="s">
        <v>607</v>
      </c>
      <c r="C60" s="494"/>
    </row>
  </sheetData>
  <mergeCells count="1">
    <mergeCell ref="M40:Q40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4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2EC85-E51E-455F-BFB5-C8517162FA38}">
  <sheetPr>
    <tabColor theme="5"/>
  </sheetPr>
  <dimension ref="B1:G169"/>
  <sheetViews>
    <sheetView topLeftCell="A25" zoomScaleNormal="100" workbookViewId="0">
      <selection activeCell="G45" sqref="G45"/>
    </sheetView>
  </sheetViews>
  <sheetFormatPr defaultRowHeight="15.5" x14ac:dyDescent="0.35"/>
  <cols>
    <col min="2" max="2" width="5" style="79" bestFit="1" customWidth="1"/>
    <col min="3" max="3" width="56.6640625" style="79" bestFit="1" customWidth="1"/>
    <col min="4" max="4" width="11.83203125" style="79" bestFit="1" customWidth="1"/>
    <col min="6" max="6" width="40.1640625" bestFit="1" customWidth="1"/>
    <col min="7" max="7" width="11.75" bestFit="1" customWidth="1"/>
  </cols>
  <sheetData>
    <row r="1" spans="2:7" ht="16" thickBot="1" x14ac:dyDescent="0.4">
      <c r="B1" s="78" t="s">
        <v>115</v>
      </c>
    </row>
    <row r="2" spans="2:7" x14ac:dyDescent="0.35">
      <c r="B2" s="80">
        <v>1</v>
      </c>
      <c r="C2" s="81" t="s">
        <v>116</v>
      </c>
      <c r="D2" s="82">
        <f>+D3+D4+D6</f>
        <v>21646.09</v>
      </c>
      <c r="F2" s="58" t="s">
        <v>0</v>
      </c>
      <c r="G2" s="70"/>
    </row>
    <row r="3" spans="2:7" x14ac:dyDescent="0.35">
      <c r="B3" s="83" t="s">
        <v>117</v>
      </c>
      <c r="C3" s="84" t="s">
        <v>118</v>
      </c>
      <c r="D3" s="85">
        <v>29511</v>
      </c>
      <c r="F3" s="39" t="s">
        <v>1</v>
      </c>
      <c r="G3" s="27"/>
    </row>
    <row r="4" spans="2:7" x14ac:dyDescent="0.35">
      <c r="B4" s="83" t="s">
        <v>119</v>
      </c>
      <c r="C4" s="86" t="s">
        <v>120</v>
      </c>
      <c r="D4" s="85">
        <v>-8064.91</v>
      </c>
      <c r="F4" s="13" t="s">
        <v>23</v>
      </c>
      <c r="G4" s="14"/>
    </row>
    <row r="5" spans="2:7" x14ac:dyDescent="0.35">
      <c r="B5" s="83" t="s">
        <v>121</v>
      </c>
      <c r="C5" s="84" t="s">
        <v>122</v>
      </c>
      <c r="D5" s="85">
        <v>0</v>
      </c>
      <c r="F5" s="16" t="s">
        <v>414</v>
      </c>
      <c r="G5" s="17">
        <f>+D99+D100</f>
        <v>-577.62</v>
      </c>
    </row>
    <row r="6" spans="2:7" x14ac:dyDescent="0.35">
      <c r="B6" s="83" t="s">
        <v>123</v>
      </c>
      <c r="C6" s="84" t="s">
        <v>15</v>
      </c>
      <c r="D6" s="85">
        <v>200</v>
      </c>
      <c r="F6" s="16" t="s">
        <v>19</v>
      </c>
      <c r="G6" s="17">
        <f>+D101</f>
        <v>-1800</v>
      </c>
    </row>
    <row r="7" spans="2:7" x14ac:dyDescent="0.35">
      <c r="B7" s="83" t="s">
        <v>124</v>
      </c>
      <c r="C7" s="84" t="s">
        <v>125</v>
      </c>
      <c r="D7" s="85">
        <v>0</v>
      </c>
      <c r="F7" s="16" t="s">
        <v>20</v>
      </c>
      <c r="G7" s="17">
        <f>+D113</f>
        <v>-1152.4100000000003</v>
      </c>
    </row>
    <row r="8" spans="2:7" x14ac:dyDescent="0.35">
      <c r="B8" s="87">
        <v>2</v>
      </c>
      <c r="C8" s="88" t="s">
        <v>126</v>
      </c>
      <c r="D8" s="89">
        <v>0</v>
      </c>
      <c r="F8" s="16" t="s">
        <v>22</v>
      </c>
      <c r="G8" s="17">
        <f>+D89+D117</f>
        <v>-1879.77</v>
      </c>
    </row>
    <row r="9" spans="2:7" x14ac:dyDescent="0.35">
      <c r="B9" s="83" t="s">
        <v>127</v>
      </c>
      <c r="C9" s="84" t="s">
        <v>128</v>
      </c>
      <c r="D9" s="85">
        <v>0</v>
      </c>
      <c r="F9" s="16" t="s">
        <v>32</v>
      </c>
      <c r="G9" s="17">
        <v>0</v>
      </c>
    </row>
    <row r="10" spans="2:7" x14ac:dyDescent="0.35">
      <c r="B10" s="83" t="s">
        <v>129</v>
      </c>
      <c r="C10" s="84" t="s">
        <v>130</v>
      </c>
      <c r="D10" s="85">
        <v>0</v>
      </c>
      <c r="F10" s="16" t="s">
        <v>44</v>
      </c>
      <c r="G10" s="17">
        <f>+D4</f>
        <v>-8064.91</v>
      </c>
    </row>
    <row r="11" spans="2:7" x14ac:dyDescent="0.35">
      <c r="B11" s="83" t="s">
        <v>131</v>
      </c>
      <c r="C11" s="90" t="s">
        <v>132</v>
      </c>
      <c r="D11" s="85">
        <v>0</v>
      </c>
      <c r="F11" s="16" t="s">
        <v>25</v>
      </c>
      <c r="G11" s="17">
        <f>+D28-D31</f>
        <v>-8567.09</v>
      </c>
    </row>
    <row r="12" spans="2:7" x14ac:dyDescent="0.35">
      <c r="B12" s="83" t="s">
        <v>133</v>
      </c>
      <c r="C12" s="90" t="s">
        <v>134</v>
      </c>
      <c r="D12" s="85">
        <v>0</v>
      </c>
      <c r="F12" s="16" t="s">
        <v>24</v>
      </c>
      <c r="G12" s="17">
        <f>+D31</f>
        <v>-49.86</v>
      </c>
    </row>
    <row r="13" spans="2:7" x14ac:dyDescent="0.35">
      <c r="B13" s="87">
        <v>3</v>
      </c>
      <c r="C13" s="88" t="s">
        <v>135</v>
      </c>
      <c r="D13" s="89">
        <v>0</v>
      </c>
      <c r="F13" s="16" t="s">
        <v>93</v>
      </c>
      <c r="G13" s="17">
        <v>0</v>
      </c>
    </row>
    <row r="14" spans="2:7" x14ac:dyDescent="0.35">
      <c r="B14" s="83" t="s">
        <v>136</v>
      </c>
      <c r="C14" s="84" t="s">
        <v>137</v>
      </c>
      <c r="D14" s="85">
        <v>0</v>
      </c>
      <c r="F14" s="16"/>
      <c r="G14" s="29">
        <f>SUM(G5:G13)</f>
        <v>-22091.66</v>
      </c>
    </row>
    <row r="15" spans="2:7" x14ac:dyDescent="0.35">
      <c r="B15" s="83" t="s">
        <v>138</v>
      </c>
      <c r="C15" s="84" t="s">
        <v>139</v>
      </c>
      <c r="D15" s="85">
        <v>0</v>
      </c>
      <c r="F15" s="13" t="s">
        <v>26</v>
      </c>
      <c r="G15" s="27"/>
    </row>
    <row r="16" spans="2:7" x14ac:dyDescent="0.35">
      <c r="B16" s="87">
        <v>4</v>
      </c>
      <c r="C16" s="88" t="s">
        <v>140</v>
      </c>
      <c r="D16" s="89">
        <v>3962.45</v>
      </c>
      <c r="F16" s="16" t="s">
        <v>27</v>
      </c>
      <c r="G16" s="17">
        <f>+D106</f>
        <v>-1212</v>
      </c>
    </row>
    <row r="17" spans="2:7" x14ac:dyDescent="0.35">
      <c r="B17" s="83" t="s">
        <v>141</v>
      </c>
      <c r="C17" s="84" t="s">
        <v>142</v>
      </c>
      <c r="D17" s="85">
        <v>3962.45</v>
      </c>
      <c r="F17" s="16" t="s">
        <v>28</v>
      </c>
      <c r="G17" s="17">
        <v>0</v>
      </c>
    </row>
    <row r="18" spans="2:7" x14ac:dyDescent="0.35">
      <c r="B18" s="87">
        <v>5</v>
      </c>
      <c r="C18" s="88" t="s">
        <v>143</v>
      </c>
      <c r="D18" s="89">
        <v>0</v>
      </c>
      <c r="F18" s="16" t="s">
        <v>29</v>
      </c>
      <c r="G18" s="17">
        <v>0</v>
      </c>
    </row>
    <row r="19" spans="2:7" x14ac:dyDescent="0.35">
      <c r="B19" s="83" t="s">
        <v>144</v>
      </c>
      <c r="C19" s="84" t="s">
        <v>145</v>
      </c>
      <c r="D19" s="85">
        <v>0</v>
      </c>
      <c r="F19" s="16" t="s">
        <v>30</v>
      </c>
      <c r="G19" s="17">
        <v>0</v>
      </c>
    </row>
    <row r="20" spans="2:7" x14ac:dyDescent="0.35">
      <c r="B20" s="83" t="s">
        <v>146</v>
      </c>
      <c r="C20" s="84" t="s">
        <v>147</v>
      </c>
      <c r="D20" s="85">
        <v>0</v>
      </c>
      <c r="F20" s="16" t="s">
        <v>31</v>
      </c>
      <c r="G20" s="17">
        <v>0</v>
      </c>
    </row>
    <row r="21" spans="2:7" x14ac:dyDescent="0.35">
      <c r="B21" s="83" t="s">
        <v>148</v>
      </c>
      <c r="C21" s="90" t="s">
        <v>149</v>
      </c>
      <c r="D21" s="85">
        <v>0</v>
      </c>
      <c r="F21" s="16"/>
      <c r="G21" s="29">
        <f>SUM(G16:G20)</f>
        <v>-1212</v>
      </c>
    </row>
    <row r="22" spans="2:7" x14ac:dyDescent="0.35">
      <c r="B22" s="87">
        <v>6</v>
      </c>
      <c r="C22" s="88" t="s">
        <v>150</v>
      </c>
      <c r="D22" s="89">
        <v>0</v>
      </c>
      <c r="F22" s="39" t="s">
        <v>95</v>
      </c>
      <c r="G22" s="30"/>
    </row>
    <row r="23" spans="2:7" x14ac:dyDescent="0.35">
      <c r="B23" s="83" t="s">
        <v>151</v>
      </c>
      <c r="C23" s="84" t="s">
        <v>152</v>
      </c>
      <c r="D23" s="85">
        <v>0</v>
      </c>
      <c r="F23" s="13" t="s">
        <v>33</v>
      </c>
      <c r="G23" s="30"/>
    </row>
    <row r="24" spans="2:7" ht="16" thickBot="1" x14ac:dyDescent="0.4">
      <c r="B24" s="91" t="s">
        <v>153</v>
      </c>
      <c r="C24" s="92" t="s">
        <v>154</v>
      </c>
      <c r="D24" s="93">
        <v>0</v>
      </c>
      <c r="F24" s="16" t="s">
        <v>34</v>
      </c>
      <c r="G24" s="17">
        <v>0</v>
      </c>
    </row>
    <row r="25" spans="2:7" ht="16" thickBot="1" x14ac:dyDescent="0.4">
      <c r="B25" s="94"/>
      <c r="C25" s="95"/>
      <c r="D25" s="96"/>
      <c r="F25" s="16" t="s">
        <v>36</v>
      </c>
      <c r="G25" s="17">
        <f>+D124</f>
        <v>-1845</v>
      </c>
    </row>
    <row r="26" spans="2:7" ht="16" thickBot="1" x14ac:dyDescent="0.4">
      <c r="B26" s="94"/>
      <c r="C26" s="97" t="s">
        <v>113</v>
      </c>
      <c r="D26" s="98">
        <f>+D2+D16</f>
        <v>25608.54</v>
      </c>
      <c r="F26" s="16" t="s">
        <v>42</v>
      </c>
      <c r="G26" s="17">
        <v>0</v>
      </c>
    </row>
    <row r="27" spans="2:7" ht="16" thickBot="1" x14ac:dyDescent="0.4">
      <c r="F27" s="16" t="s">
        <v>35</v>
      </c>
      <c r="G27" s="17">
        <v>0</v>
      </c>
    </row>
    <row r="28" spans="2:7" x14ac:dyDescent="0.35">
      <c r="B28" s="99">
        <v>7</v>
      </c>
      <c r="C28" s="81" t="s">
        <v>155</v>
      </c>
      <c r="D28" s="82">
        <v>-8616.9500000000007</v>
      </c>
      <c r="F28" s="16" t="s">
        <v>92</v>
      </c>
      <c r="G28" s="17">
        <v>0</v>
      </c>
    </row>
    <row r="29" spans="2:7" x14ac:dyDescent="0.35">
      <c r="B29" s="100" t="s">
        <v>156</v>
      </c>
      <c r="C29" s="90" t="s">
        <v>157</v>
      </c>
      <c r="D29" s="85">
        <v>0</v>
      </c>
      <c r="F29" s="16"/>
      <c r="G29" s="29">
        <f>SUM(G24:G28)</f>
        <v>-1845</v>
      </c>
    </row>
    <row r="30" spans="2:7" x14ac:dyDescent="0.35">
      <c r="B30" s="100" t="s">
        <v>158</v>
      </c>
      <c r="C30" s="90" t="s">
        <v>159</v>
      </c>
      <c r="D30" s="85">
        <v>0</v>
      </c>
      <c r="F30" s="13" t="s">
        <v>37</v>
      </c>
      <c r="G30" s="27"/>
    </row>
    <row r="31" spans="2:7" x14ac:dyDescent="0.35">
      <c r="B31" s="100" t="s">
        <v>160</v>
      </c>
      <c r="C31" s="90" t="s">
        <v>161</v>
      </c>
      <c r="D31" s="85">
        <v>-49.86</v>
      </c>
      <c r="F31" s="16" t="s">
        <v>38</v>
      </c>
      <c r="G31" s="17">
        <v>0</v>
      </c>
    </row>
    <row r="32" spans="2:7" x14ac:dyDescent="0.35">
      <c r="B32" s="100" t="s">
        <v>162</v>
      </c>
      <c r="C32" s="90" t="s">
        <v>163</v>
      </c>
      <c r="D32" s="85">
        <v>0</v>
      </c>
      <c r="F32" s="16" t="s">
        <v>39</v>
      </c>
      <c r="G32" s="17">
        <f>+D131+D132</f>
        <v>-2882.33</v>
      </c>
    </row>
    <row r="33" spans="2:7" x14ac:dyDescent="0.35">
      <c r="B33" s="100" t="s">
        <v>164</v>
      </c>
      <c r="C33" s="90" t="s">
        <v>165</v>
      </c>
      <c r="D33" s="85">
        <v>0</v>
      </c>
      <c r="F33" s="16" t="s">
        <v>40</v>
      </c>
      <c r="G33" s="17">
        <v>0</v>
      </c>
    </row>
    <row r="34" spans="2:7" x14ac:dyDescent="0.35">
      <c r="B34" s="100" t="s">
        <v>166</v>
      </c>
      <c r="C34" s="90" t="s">
        <v>167</v>
      </c>
      <c r="D34" s="85">
        <v>0</v>
      </c>
      <c r="F34" s="16"/>
      <c r="G34" s="29">
        <f>SUM(G31:G33)</f>
        <v>-2882.33</v>
      </c>
    </row>
    <row r="35" spans="2:7" x14ac:dyDescent="0.35">
      <c r="B35" s="100" t="s">
        <v>168</v>
      </c>
      <c r="C35" s="90" t="s">
        <v>169</v>
      </c>
      <c r="D35" s="85">
        <v>0</v>
      </c>
      <c r="F35" s="13" t="s">
        <v>41</v>
      </c>
      <c r="G35" s="27"/>
    </row>
    <row r="36" spans="2:7" x14ac:dyDescent="0.35">
      <c r="B36" s="100" t="s">
        <v>170</v>
      </c>
      <c r="C36" s="90" t="s">
        <v>171</v>
      </c>
      <c r="D36" s="85">
        <v>-3132</v>
      </c>
      <c r="F36" s="16" t="s">
        <v>43</v>
      </c>
      <c r="G36" s="17">
        <f>+D156</f>
        <v>-13973.6</v>
      </c>
    </row>
    <row r="37" spans="2:7" x14ac:dyDescent="0.35">
      <c r="B37" s="100" t="s">
        <v>172</v>
      </c>
      <c r="C37" s="90" t="s">
        <v>173</v>
      </c>
      <c r="D37" s="85">
        <v>-5435.09</v>
      </c>
      <c r="F37" s="16" t="s">
        <v>45</v>
      </c>
      <c r="G37" s="17">
        <f>+D120</f>
        <v>-2783.85</v>
      </c>
    </row>
    <row r="38" spans="2:7" x14ac:dyDescent="0.35">
      <c r="B38" s="100" t="s">
        <v>174</v>
      </c>
      <c r="C38" s="90" t="s">
        <v>175</v>
      </c>
      <c r="D38" s="85">
        <v>0</v>
      </c>
      <c r="F38" s="16" t="s">
        <v>94</v>
      </c>
      <c r="G38" s="17">
        <v>0</v>
      </c>
    </row>
    <row r="39" spans="2:7" x14ac:dyDescent="0.35">
      <c r="B39" s="100" t="s">
        <v>176</v>
      </c>
      <c r="C39" s="90" t="s">
        <v>177</v>
      </c>
      <c r="D39" s="85">
        <v>0</v>
      </c>
      <c r="F39" s="16"/>
      <c r="G39" s="29">
        <f>SUM(G36:G38)</f>
        <v>-16757.45</v>
      </c>
    </row>
    <row r="40" spans="2:7" x14ac:dyDescent="0.35">
      <c r="B40" s="100" t="s">
        <v>178</v>
      </c>
      <c r="C40" s="90" t="s">
        <v>179</v>
      </c>
      <c r="D40" s="85">
        <v>0</v>
      </c>
      <c r="F40" s="13"/>
      <c r="G40" s="27"/>
    </row>
    <row r="41" spans="2:7" x14ac:dyDescent="0.35">
      <c r="B41" s="100" t="s">
        <v>180</v>
      </c>
      <c r="C41" s="90" t="s">
        <v>181</v>
      </c>
      <c r="D41" s="85">
        <v>0</v>
      </c>
      <c r="F41" s="60" t="s">
        <v>112</v>
      </c>
      <c r="G41" s="32">
        <f>G39+G34+G29+G21+G14</f>
        <v>-44788.44</v>
      </c>
    </row>
    <row r="42" spans="2:7" x14ac:dyDescent="0.35">
      <c r="B42" s="100" t="s">
        <v>182</v>
      </c>
      <c r="C42" s="90" t="s">
        <v>163</v>
      </c>
      <c r="D42" s="85">
        <v>0</v>
      </c>
    </row>
    <row r="43" spans="2:7" x14ac:dyDescent="0.35">
      <c r="B43" s="100" t="s">
        <v>183</v>
      </c>
      <c r="C43" s="90" t="s">
        <v>184</v>
      </c>
      <c r="D43" s="85">
        <v>0</v>
      </c>
      <c r="G43" s="117">
        <f>+D167+D4-G41</f>
        <v>0</v>
      </c>
    </row>
    <row r="44" spans="2:7" x14ac:dyDescent="0.35">
      <c r="B44" s="101">
        <v>8</v>
      </c>
      <c r="C44" s="88" t="s">
        <v>185</v>
      </c>
      <c r="D44" s="89">
        <v>0</v>
      </c>
    </row>
    <row r="45" spans="2:7" x14ac:dyDescent="0.35">
      <c r="B45" s="100" t="s">
        <v>186</v>
      </c>
      <c r="C45" s="90" t="s">
        <v>187</v>
      </c>
      <c r="D45" s="85">
        <v>0</v>
      </c>
    </row>
    <row r="46" spans="2:7" x14ac:dyDescent="0.35">
      <c r="B46" s="100" t="s">
        <v>188</v>
      </c>
      <c r="C46" s="90" t="s">
        <v>189</v>
      </c>
      <c r="D46" s="85">
        <v>0</v>
      </c>
    </row>
    <row r="47" spans="2:7" x14ac:dyDescent="0.35">
      <c r="B47" s="100" t="s">
        <v>190</v>
      </c>
      <c r="C47" s="90" t="s">
        <v>191</v>
      </c>
      <c r="D47" s="85">
        <v>0</v>
      </c>
    </row>
    <row r="48" spans="2:7" x14ac:dyDescent="0.35">
      <c r="B48" s="100" t="s">
        <v>192</v>
      </c>
      <c r="C48" s="90" t="s">
        <v>193</v>
      </c>
      <c r="D48" s="85">
        <v>0</v>
      </c>
    </row>
    <row r="49" spans="2:4" x14ac:dyDescent="0.35">
      <c r="B49" s="100" t="s">
        <v>194</v>
      </c>
      <c r="C49" s="90" t="s">
        <v>195</v>
      </c>
      <c r="D49" s="85">
        <v>0</v>
      </c>
    </row>
    <row r="50" spans="2:4" x14ac:dyDescent="0.35">
      <c r="B50" s="100" t="s">
        <v>196</v>
      </c>
      <c r="C50" s="90" t="s">
        <v>197</v>
      </c>
      <c r="D50" s="85">
        <v>0</v>
      </c>
    </row>
    <row r="51" spans="2:4" x14ac:dyDescent="0.35">
      <c r="B51" s="100" t="s">
        <v>198</v>
      </c>
      <c r="C51" s="90" t="s">
        <v>199</v>
      </c>
      <c r="D51" s="85">
        <v>0</v>
      </c>
    </row>
    <row r="52" spans="2:4" x14ac:dyDescent="0.35">
      <c r="B52" s="100" t="s">
        <v>200</v>
      </c>
      <c r="C52" s="90" t="s">
        <v>201</v>
      </c>
      <c r="D52" s="85">
        <v>0</v>
      </c>
    </row>
    <row r="53" spans="2:4" x14ac:dyDescent="0.35">
      <c r="B53" s="100" t="s">
        <v>202</v>
      </c>
      <c r="C53" s="90" t="s">
        <v>203</v>
      </c>
      <c r="D53" s="85">
        <v>0</v>
      </c>
    </row>
    <row r="54" spans="2:4" x14ac:dyDescent="0.35">
      <c r="B54" s="100" t="s">
        <v>204</v>
      </c>
      <c r="C54" s="90" t="s">
        <v>205</v>
      </c>
      <c r="D54" s="85">
        <v>0</v>
      </c>
    </row>
    <row r="55" spans="2:4" x14ac:dyDescent="0.35">
      <c r="B55" s="100" t="s">
        <v>206</v>
      </c>
      <c r="C55" s="90" t="s">
        <v>207</v>
      </c>
      <c r="D55" s="85">
        <v>0</v>
      </c>
    </row>
    <row r="56" spans="2:4" x14ac:dyDescent="0.35">
      <c r="B56" s="100" t="s">
        <v>208</v>
      </c>
      <c r="C56" s="90" t="s">
        <v>209</v>
      </c>
      <c r="D56" s="85">
        <v>0</v>
      </c>
    </row>
    <row r="57" spans="2:4" x14ac:dyDescent="0.35">
      <c r="B57" s="100" t="s">
        <v>210</v>
      </c>
      <c r="C57" s="90" t="s">
        <v>211</v>
      </c>
      <c r="D57" s="85">
        <v>0</v>
      </c>
    </row>
    <row r="58" spans="2:4" x14ac:dyDescent="0.35">
      <c r="B58" s="100" t="s">
        <v>212</v>
      </c>
      <c r="C58" s="90" t="s">
        <v>213</v>
      </c>
      <c r="D58" s="85">
        <v>0</v>
      </c>
    </row>
    <row r="59" spans="2:4" x14ac:dyDescent="0.35">
      <c r="B59" s="100" t="s">
        <v>214</v>
      </c>
      <c r="C59" s="90" t="s">
        <v>215</v>
      </c>
      <c r="D59" s="85">
        <v>0</v>
      </c>
    </row>
    <row r="60" spans="2:4" x14ac:dyDescent="0.35">
      <c r="B60" s="100" t="s">
        <v>216</v>
      </c>
      <c r="C60" s="90" t="s">
        <v>217</v>
      </c>
      <c r="D60" s="85">
        <v>0</v>
      </c>
    </row>
    <row r="61" spans="2:4" x14ac:dyDescent="0.35">
      <c r="B61" s="100" t="s">
        <v>218</v>
      </c>
      <c r="C61" s="90" t="s">
        <v>219</v>
      </c>
      <c r="D61" s="85">
        <v>0</v>
      </c>
    </row>
    <row r="62" spans="2:4" x14ac:dyDescent="0.35">
      <c r="B62" s="100" t="s">
        <v>220</v>
      </c>
      <c r="C62" s="90" t="s">
        <v>221</v>
      </c>
      <c r="D62" s="85">
        <v>0</v>
      </c>
    </row>
    <row r="63" spans="2:4" x14ac:dyDescent="0.35">
      <c r="B63" s="100" t="s">
        <v>222</v>
      </c>
      <c r="C63" s="90" t="s">
        <v>223</v>
      </c>
      <c r="D63" s="85">
        <v>0</v>
      </c>
    </row>
    <row r="64" spans="2:4" x14ac:dyDescent="0.35">
      <c r="B64" s="100" t="s">
        <v>224</v>
      </c>
      <c r="C64" s="90" t="s">
        <v>225</v>
      </c>
      <c r="D64" s="85">
        <v>0</v>
      </c>
    </row>
    <row r="65" spans="2:4" x14ac:dyDescent="0.35">
      <c r="B65" s="100" t="s">
        <v>226</v>
      </c>
      <c r="C65" s="90" t="s">
        <v>227</v>
      </c>
      <c r="D65" s="85">
        <v>0</v>
      </c>
    </row>
    <row r="66" spans="2:4" x14ac:dyDescent="0.35">
      <c r="B66" s="100" t="s">
        <v>228</v>
      </c>
      <c r="C66" s="90" t="s">
        <v>229</v>
      </c>
      <c r="D66" s="85">
        <v>0</v>
      </c>
    </row>
    <row r="67" spans="2:4" x14ac:dyDescent="0.35">
      <c r="B67" s="100" t="s">
        <v>230</v>
      </c>
      <c r="C67" s="90" t="s">
        <v>231</v>
      </c>
      <c r="D67" s="85">
        <v>0</v>
      </c>
    </row>
    <row r="68" spans="2:4" x14ac:dyDescent="0.35">
      <c r="B68" s="100" t="s">
        <v>232</v>
      </c>
      <c r="C68" s="90" t="s">
        <v>233</v>
      </c>
      <c r="D68" s="85">
        <v>0</v>
      </c>
    </row>
    <row r="69" spans="2:4" x14ac:dyDescent="0.35">
      <c r="B69" s="100" t="s">
        <v>234</v>
      </c>
      <c r="C69" s="90" t="s">
        <v>235</v>
      </c>
      <c r="D69" s="85">
        <v>0</v>
      </c>
    </row>
    <row r="70" spans="2:4" x14ac:dyDescent="0.35">
      <c r="B70" s="100" t="s">
        <v>236</v>
      </c>
      <c r="C70" s="90" t="s">
        <v>237</v>
      </c>
      <c r="D70" s="85">
        <v>0</v>
      </c>
    </row>
    <row r="71" spans="2:4" x14ac:dyDescent="0.35">
      <c r="B71" s="100" t="s">
        <v>238</v>
      </c>
      <c r="C71" s="90" t="s">
        <v>239</v>
      </c>
      <c r="D71" s="85">
        <v>0</v>
      </c>
    </row>
    <row r="72" spans="2:4" x14ac:dyDescent="0.35">
      <c r="B72" s="100" t="s">
        <v>240</v>
      </c>
      <c r="C72" s="90" t="s">
        <v>241</v>
      </c>
      <c r="D72" s="85">
        <v>0</v>
      </c>
    </row>
    <row r="73" spans="2:4" x14ac:dyDescent="0.35">
      <c r="B73" s="87">
        <v>9</v>
      </c>
      <c r="C73" s="88" t="s">
        <v>242</v>
      </c>
      <c r="D73" s="89">
        <v>0</v>
      </c>
    </row>
    <row r="74" spans="2:4" x14ac:dyDescent="0.35">
      <c r="B74" s="100" t="s">
        <v>243</v>
      </c>
      <c r="C74" s="90" t="s">
        <v>244</v>
      </c>
      <c r="D74" s="85">
        <v>0</v>
      </c>
    </row>
    <row r="75" spans="2:4" x14ac:dyDescent="0.35">
      <c r="B75" s="100" t="s">
        <v>245</v>
      </c>
      <c r="C75" s="90" t="s">
        <v>246</v>
      </c>
      <c r="D75" s="85">
        <v>0</v>
      </c>
    </row>
    <row r="76" spans="2:4" x14ac:dyDescent="0.35">
      <c r="B76" s="100" t="s">
        <v>247</v>
      </c>
      <c r="C76" s="90" t="s">
        <v>248</v>
      </c>
      <c r="D76" s="85">
        <v>0</v>
      </c>
    </row>
    <row r="77" spans="2:4" x14ac:dyDescent="0.35">
      <c r="B77" s="100" t="s">
        <v>249</v>
      </c>
      <c r="C77" s="90" t="s">
        <v>250</v>
      </c>
      <c r="D77" s="85">
        <v>0</v>
      </c>
    </row>
    <row r="78" spans="2:4" x14ac:dyDescent="0.35">
      <c r="B78" s="100" t="s">
        <v>251</v>
      </c>
      <c r="C78" s="90" t="s">
        <v>252</v>
      </c>
      <c r="D78" s="85">
        <v>0</v>
      </c>
    </row>
    <row r="79" spans="2:4" x14ac:dyDescent="0.35">
      <c r="B79" s="100" t="s">
        <v>253</v>
      </c>
      <c r="C79" s="90" t="s">
        <v>254</v>
      </c>
      <c r="D79" s="85">
        <v>0</v>
      </c>
    </row>
    <row r="80" spans="2:4" x14ac:dyDescent="0.35">
      <c r="B80" s="100" t="s">
        <v>255</v>
      </c>
      <c r="C80" s="90" t="s">
        <v>256</v>
      </c>
      <c r="D80" s="85">
        <v>0</v>
      </c>
    </row>
    <row r="81" spans="2:4" x14ac:dyDescent="0.35">
      <c r="B81" s="100" t="s">
        <v>257</v>
      </c>
      <c r="C81" s="90" t="s">
        <v>258</v>
      </c>
      <c r="D81" s="85">
        <v>0</v>
      </c>
    </row>
    <row r="82" spans="2:4" x14ac:dyDescent="0.35">
      <c r="B82" s="100" t="s">
        <v>259</v>
      </c>
      <c r="C82" s="90" t="s">
        <v>260</v>
      </c>
      <c r="D82" s="85">
        <v>0</v>
      </c>
    </row>
    <row r="83" spans="2:4" x14ac:dyDescent="0.35">
      <c r="B83" s="100" t="s">
        <v>261</v>
      </c>
      <c r="C83" s="90" t="s">
        <v>262</v>
      </c>
      <c r="D83" s="85">
        <v>0</v>
      </c>
    </row>
    <row r="84" spans="2:4" x14ac:dyDescent="0.35">
      <c r="B84" s="100" t="s">
        <v>263</v>
      </c>
      <c r="C84" s="90" t="s">
        <v>264</v>
      </c>
      <c r="D84" s="85">
        <v>0</v>
      </c>
    </row>
    <row r="85" spans="2:4" x14ac:dyDescent="0.35">
      <c r="B85" s="100" t="s">
        <v>265</v>
      </c>
      <c r="C85" s="90" t="s">
        <v>266</v>
      </c>
      <c r="D85" s="85">
        <v>0</v>
      </c>
    </row>
    <row r="86" spans="2:4" x14ac:dyDescent="0.35">
      <c r="B86" s="101">
        <v>10</v>
      </c>
      <c r="C86" s="88" t="s">
        <v>267</v>
      </c>
      <c r="D86" s="89">
        <v>-1872.35</v>
      </c>
    </row>
    <row r="87" spans="2:4" x14ac:dyDescent="0.35">
      <c r="B87" s="100" t="s">
        <v>268</v>
      </c>
      <c r="C87" s="90" t="s">
        <v>269</v>
      </c>
      <c r="D87" s="85">
        <v>0</v>
      </c>
    </row>
    <row r="88" spans="2:4" x14ac:dyDescent="0.35">
      <c r="B88" s="100" t="s">
        <v>270</v>
      </c>
      <c r="C88" s="102" t="s">
        <v>271</v>
      </c>
      <c r="D88" s="85">
        <v>0</v>
      </c>
    </row>
    <row r="89" spans="2:4" x14ac:dyDescent="0.35">
      <c r="B89" s="100" t="s">
        <v>272</v>
      </c>
      <c r="C89" s="102" t="s">
        <v>273</v>
      </c>
      <c r="D89" s="85">
        <v>-1872.35</v>
      </c>
    </row>
    <row r="90" spans="2:4" x14ac:dyDescent="0.35">
      <c r="B90" s="100" t="s">
        <v>274</v>
      </c>
      <c r="C90" s="84" t="s">
        <v>275</v>
      </c>
      <c r="D90" s="85">
        <v>0</v>
      </c>
    </row>
    <row r="91" spans="2:4" x14ac:dyDescent="0.35">
      <c r="B91" s="100" t="s">
        <v>276</v>
      </c>
      <c r="C91" s="84" t="s">
        <v>277</v>
      </c>
      <c r="D91" s="85">
        <v>0</v>
      </c>
    </row>
    <row r="92" spans="2:4" x14ac:dyDescent="0.35">
      <c r="B92" s="100" t="s">
        <v>278</v>
      </c>
      <c r="C92" s="84" t="s">
        <v>279</v>
      </c>
      <c r="D92" s="85">
        <v>0</v>
      </c>
    </row>
    <row r="93" spans="2:4" x14ac:dyDescent="0.35">
      <c r="B93" s="100" t="s">
        <v>280</v>
      </c>
      <c r="C93" s="84" t="s">
        <v>281</v>
      </c>
      <c r="D93" s="85">
        <v>0</v>
      </c>
    </row>
    <row r="94" spans="2:4" x14ac:dyDescent="0.35">
      <c r="B94" s="100" t="s">
        <v>282</v>
      </c>
      <c r="C94" s="84" t="s">
        <v>283</v>
      </c>
      <c r="D94" s="85">
        <v>0</v>
      </c>
    </row>
    <row r="95" spans="2:4" x14ac:dyDescent="0.35">
      <c r="B95" s="100" t="s">
        <v>284</v>
      </c>
      <c r="C95" s="84" t="s">
        <v>285</v>
      </c>
      <c r="D95" s="85">
        <v>0</v>
      </c>
    </row>
    <row r="96" spans="2:4" x14ac:dyDescent="0.35">
      <c r="B96" s="100" t="s">
        <v>286</v>
      </c>
      <c r="C96" s="84" t="s">
        <v>287</v>
      </c>
      <c r="D96" s="85">
        <v>0</v>
      </c>
    </row>
    <row r="97" spans="2:4" x14ac:dyDescent="0.35">
      <c r="B97" s="101">
        <v>11</v>
      </c>
      <c r="C97" s="88" t="s">
        <v>288</v>
      </c>
      <c r="D97" s="89">
        <v>-2377.62</v>
      </c>
    </row>
    <row r="98" spans="2:4" x14ac:dyDescent="0.35">
      <c r="B98" s="100" t="s">
        <v>289</v>
      </c>
      <c r="C98" s="84" t="s">
        <v>290</v>
      </c>
      <c r="D98" s="85">
        <v>0</v>
      </c>
    </row>
    <row r="99" spans="2:4" x14ac:dyDescent="0.35">
      <c r="B99" s="100" t="s">
        <v>291</v>
      </c>
      <c r="C99" s="102" t="s">
        <v>292</v>
      </c>
      <c r="D99" s="85">
        <v>-227.62</v>
      </c>
    </row>
    <row r="100" spans="2:4" x14ac:dyDescent="0.35">
      <c r="B100" s="100" t="s">
        <v>293</v>
      </c>
      <c r="C100" s="84" t="s">
        <v>21</v>
      </c>
      <c r="D100" s="85">
        <v>-350</v>
      </c>
    </row>
    <row r="101" spans="2:4" x14ac:dyDescent="0.35">
      <c r="B101" s="100" t="s">
        <v>294</v>
      </c>
      <c r="C101" s="90" t="s">
        <v>295</v>
      </c>
      <c r="D101" s="85">
        <v>-1800</v>
      </c>
    </row>
    <row r="102" spans="2:4" x14ac:dyDescent="0.35">
      <c r="B102" s="100" t="s">
        <v>296</v>
      </c>
      <c r="C102" s="84" t="s">
        <v>297</v>
      </c>
      <c r="D102" s="85">
        <v>0</v>
      </c>
    </row>
    <row r="103" spans="2:4" x14ac:dyDescent="0.35">
      <c r="B103" s="100" t="s">
        <v>298</v>
      </c>
      <c r="C103" s="90" t="s">
        <v>299</v>
      </c>
      <c r="D103" s="85">
        <v>0</v>
      </c>
    </row>
    <row r="104" spans="2:4" x14ac:dyDescent="0.35">
      <c r="B104" s="100" t="s">
        <v>300</v>
      </c>
      <c r="C104" s="90" t="s">
        <v>301</v>
      </c>
      <c r="D104" s="85">
        <v>0</v>
      </c>
    </row>
    <row r="105" spans="2:4" x14ac:dyDescent="0.35">
      <c r="B105" s="101">
        <v>12</v>
      </c>
      <c r="C105" s="88" t="s">
        <v>302</v>
      </c>
      <c r="D105" s="89">
        <v>-1212</v>
      </c>
    </row>
    <row r="106" spans="2:4" x14ac:dyDescent="0.35">
      <c r="B106" s="100" t="s">
        <v>303</v>
      </c>
      <c r="C106" s="102" t="s">
        <v>27</v>
      </c>
      <c r="D106" s="85">
        <v>-1212</v>
      </c>
    </row>
    <row r="107" spans="2:4" x14ac:dyDescent="0.35">
      <c r="B107" s="100" t="s">
        <v>304</v>
      </c>
      <c r="C107" s="102" t="s">
        <v>305</v>
      </c>
      <c r="D107" s="85">
        <v>0</v>
      </c>
    </row>
    <row r="108" spans="2:4" x14ac:dyDescent="0.35">
      <c r="B108" s="100" t="s">
        <v>306</v>
      </c>
      <c r="C108" s="102" t="s">
        <v>307</v>
      </c>
      <c r="D108" s="85">
        <v>0</v>
      </c>
    </row>
    <row r="109" spans="2:4" x14ac:dyDescent="0.35">
      <c r="B109" s="100" t="s">
        <v>308</v>
      </c>
      <c r="C109" s="102" t="s">
        <v>139</v>
      </c>
      <c r="D109" s="85">
        <v>0</v>
      </c>
    </row>
    <row r="110" spans="2:4" x14ac:dyDescent="0.35">
      <c r="B110" s="101">
        <v>13</v>
      </c>
      <c r="C110" s="88" t="s">
        <v>309</v>
      </c>
      <c r="D110" s="89">
        <v>0</v>
      </c>
    </row>
    <row r="111" spans="2:4" x14ac:dyDescent="0.35">
      <c r="B111" s="100" t="s">
        <v>310</v>
      </c>
      <c r="C111" s="90" t="s">
        <v>311</v>
      </c>
      <c r="D111" s="85">
        <v>0</v>
      </c>
    </row>
    <row r="112" spans="2:4" x14ac:dyDescent="0.35">
      <c r="B112" s="100" t="s">
        <v>312</v>
      </c>
      <c r="C112" s="90" t="s">
        <v>313</v>
      </c>
      <c r="D112" s="85">
        <v>0</v>
      </c>
    </row>
    <row r="113" spans="2:4" x14ac:dyDescent="0.35">
      <c r="B113" s="101">
        <v>14</v>
      </c>
      <c r="C113" s="88" t="s">
        <v>314</v>
      </c>
      <c r="D113" s="89">
        <v>-1152.4100000000003</v>
      </c>
    </row>
    <row r="114" spans="2:4" x14ac:dyDescent="0.35">
      <c r="B114" s="100" t="s">
        <v>315</v>
      </c>
      <c r="C114" s="102" t="s">
        <v>316</v>
      </c>
      <c r="D114" s="85">
        <v>0</v>
      </c>
    </row>
    <row r="115" spans="2:4" x14ac:dyDescent="0.35">
      <c r="B115" s="100" t="s">
        <v>317</v>
      </c>
      <c r="C115" s="102" t="s">
        <v>318</v>
      </c>
      <c r="D115" s="85">
        <v>0</v>
      </c>
    </row>
    <row r="116" spans="2:4" x14ac:dyDescent="0.35">
      <c r="B116" s="100" t="s">
        <v>319</v>
      </c>
      <c r="C116" s="102" t="s">
        <v>20</v>
      </c>
      <c r="D116" s="85">
        <v>-1152.4100000000003</v>
      </c>
    </row>
    <row r="117" spans="2:4" x14ac:dyDescent="0.35">
      <c r="B117" s="101">
        <v>15</v>
      </c>
      <c r="C117" s="88" t="s">
        <v>320</v>
      </c>
      <c r="D117" s="89">
        <v>-7.42</v>
      </c>
    </row>
    <row r="118" spans="2:4" x14ac:dyDescent="0.35">
      <c r="B118" s="100" t="s">
        <v>321</v>
      </c>
      <c r="C118" s="90" t="s">
        <v>322</v>
      </c>
      <c r="D118" s="85">
        <v>-7.42</v>
      </c>
    </row>
    <row r="119" spans="2:4" x14ac:dyDescent="0.35">
      <c r="B119" s="100" t="s">
        <v>323</v>
      </c>
      <c r="C119" s="84" t="s">
        <v>324</v>
      </c>
      <c r="D119" s="85">
        <v>0</v>
      </c>
    </row>
    <row r="120" spans="2:4" x14ac:dyDescent="0.35">
      <c r="B120" s="101">
        <v>16</v>
      </c>
      <c r="C120" s="88" t="s">
        <v>325</v>
      </c>
      <c r="D120" s="89">
        <v>-2783.85</v>
      </c>
    </row>
    <row r="121" spans="2:4" x14ac:dyDescent="0.35">
      <c r="B121" s="103" t="s">
        <v>326</v>
      </c>
      <c r="C121" s="102" t="s">
        <v>327</v>
      </c>
      <c r="D121" s="85">
        <v>-2783.85</v>
      </c>
    </row>
    <row r="122" spans="2:4" x14ac:dyDescent="0.35">
      <c r="B122" s="101">
        <v>17</v>
      </c>
      <c r="C122" s="88" t="s">
        <v>328</v>
      </c>
      <c r="D122" s="89">
        <v>-4727.33</v>
      </c>
    </row>
    <row r="123" spans="2:4" x14ac:dyDescent="0.35">
      <c r="B123" s="100" t="s">
        <v>329</v>
      </c>
      <c r="C123" s="90" t="s">
        <v>330</v>
      </c>
      <c r="D123" s="85">
        <v>0</v>
      </c>
    </row>
    <row r="124" spans="2:4" x14ac:dyDescent="0.35">
      <c r="B124" s="100" t="s">
        <v>331</v>
      </c>
      <c r="C124" s="90" t="s">
        <v>332</v>
      </c>
      <c r="D124" s="85">
        <v>-1845</v>
      </c>
    </row>
    <row r="125" spans="2:4" x14ac:dyDescent="0.35">
      <c r="B125" s="100" t="s">
        <v>333</v>
      </c>
      <c r="C125" s="90" t="s">
        <v>334</v>
      </c>
      <c r="D125" s="85">
        <v>0</v>
      </c>
    </row>
    <row r="126" spans="2:4" x14ac:dyDescent="0.35">
      <c r="B126" s="100" t="s">
        <v>335</v>
      </c>
      <c r="C126" s="90" t="s">
        <v>336</v>
      </c>
      <c r="D126" s="85">
        <v>0</v>
      </c>
    </row>
    <row r="127" spans="2:4" x14ac:dyDescent="0.35">
      <c r="B127" s="100" t="s">
        <v>337</v>
      </c>
      <c r="C127" s="90" t="s">
        <v>338</v>
      </c>
      <c r="D127" s="85">
        <v>0</v>
      </c>
    </row>
    <row r="128" spans="2:4" x14ac:dyDescent="0.35">
      <c r="B128" s="100" t="s">
        <v>339</v>
      </c>
      <c r="C128" s="90" t="s">
        <v>340</v>
      </c>
      <c r="D128" s="85">
        <v>0</v>
      </c>
    </row>
    <row r="129" spans="2:4" x14ac:dyDescent="0.35">
      <c r="B129" s="100" t="s">
        <v>341</v>
      </c>
      <c r="C129" s="90" t="s">
        <v>342</v>
      </c>
      <c r="D129" s="85">
        <v>0</v>
      </c>
    </row>
    <row r="130" spans="2:4" x14ac:dyDescent="0.35">
      <c r="B130" s="100" t="s">
        <v>343</v>
      </c>
      <c r="C130" s="90" t="s">
        <v>344</v>
      </c>
      <c r="D130" s="85">
        <v>0</v>
      </c>
    </row>
    <row r="131" spans="2:4" x14ac:dyDescent="0.35">
      <c r="B131" s="100" t="s">
        <v>345</v>
      </c>
      <c r="C131" s="90" t="s">
        <v>346</v>
      </c>
      <c r="D131" s="85">
        <v>-2582.33</v>
      </c>
    </row>
    <row r="132" spans="2:4" x14ac:dyDescent="0.35">
      <c r="B132" s="100" t="s">
        <v>347</v>
      </c>
      <c r="C132" s="90" t="s">
        <v>348</v>
      </c>
      <c r="D132" s="85">
        <v>-300</v>
      </c>
    </row>
    <row r="133" spans="2:4" x14ac:dyDescent="0.35">
      <c r="B133" s="100" t="s">
        <v>349</v>
      </c>
      <c r="C133" s="90" t="s">
        <v>350</v>
      </c>
      <c r="D133" s="85">
        <v>0</v>
      </c>
    </row>
    <row r="134" spans="2:4" x14ac:dyDescent="0.35">
      <c r="B134" s="100" t="s">
        <v>351</v>
      </c>
      <c r="C134" s="90" t="s">
        <v>352</v>
      </c>
      <c r="D134" s="85">
        <v>0</v>
      </c>
    </row>
    <row r="135" spans="2:4" x14ac:dyDescent="0.35">
      <c r="B135" s="100" t="s">
        <v>353</v>
      </c>
      <c r="C135" s="90" t="s">
        <v>354</v>
      </c>
      <c r="D135" s="85">
        <v>0</v>
      </c>
    </row>
    <row r="136" spans="2:4" x14ac:dyDescent="0.35">
      <c r="B136" s="100" t="s">
        <v>355</v>
      </c>
      <c r="C136" s="90" t="s">
        <v>356</v>
      </c>
      <c r="D136" s="85">
        <v>0</v>
      </c>
    </row>
    <row r="137" spans="2:4" x14ac:dyDescent="0.35">
      <c r="B137" s="100" t="s">
        <v>357</v>
      </c>
      <c r="C137" s="90" t="s">
        <v>358</v>
      </c>
      <c r="D137" s="85">
        <v>0</v>
      </c>
    </row>
    <row r="138" spans="2:4" x14ac:dyDescent="0.35">
      <c r="B138" s="100" t="s">
        <v>359</v>
      </c>
      <c r="C138" s="90" t="s">
        <v>360</v>
      </c>
      <c r="D138" s="85">
        <v>0</v>
      </c>
    </row>
    <row r="139" spans="2:4" x14ac:dyDescent="0.35">
      <c r="B139" s="101">
        <v>18</v>
      </c>
      <c r="C139" s="88" t="s">
        <v>361</v>
      </c>
      <c r="D139" s="89">
        <v>0</v>
      </c>
    </row>
    <row r="140" spans="2:4" x14ac:dyDescent="0.35">
      <c r="B140" s="100" t="s">
        <v>362</v>
      </c>
      <c r="C140" s="90" t="s">
        <v>363</v>
      </c>
      <c r="D140" s="85">
        <v>0</v>
      </c>
    </row>
    <row r="141" spans="2:4" x14ac:dyDescent="0.35">
      <c r="B141" s="100" t="s">
        <v>364</v>
      </c>
      <c r="C141" s="90" t="s">
        <v>365</v>
      </c>
      <c r="D141" s="85">
        <v>0</v>
      </c>
    </row>
    <row r="142" spans="2:4" x14ac:dyDescent="0.35">
      <c r="B142" s="100" t="s">
        <v>366</v>
      </c>
      <c r="C142" s="90" t="s">
        <v>367</v>
      </c>
      <c r="D142" s="85">
        <v>0</v>
      </c>
    </row>
    <row r="143" spans="2:4" x14ac:dyDescent="0.35">
      <c r="B143" s="100" t="s">
        <v>368</v>
      </c>
      <c r="C143" s="90" t="s">
        <v>369</v>
      </c>
      <c r="D143" s="85">
        <v>0</v>
      </c>
    </row>
    <row r="144" spans="2:4" x14ac:dyDescent="0.35">
      <c r="B144" s="100" t="s">
        <v>370</v>
      </c>
      <c r="C144" s="90" t="s">
        <v>371</v>
      </c>
      <c r="D144" s="85">
        <v>0</v>
      </c>
    </row>
    <row r="145" spans="2:4" x14ac:dyDescent="0.35">
      <c r="B145" s="100" t="s">
        <v>372</v>
      </c>
      <c r="C145" s="90" t="s">
        <v>373</v>
      </c>
      <c r="D145" s="85">
        <v>0</v>
      </c>
    </row>
    <row r="146" spans="2:4" x14ac:dyDescent="0.35">
      <c r="B146" s="100" t="s">
        <v>374</v>
      </c>
      <c r="C146" s="90" t="s">
        <v>375</v>
      </c>
      <c r="D146" s="85">
        <v>0</v>
      </c>
    </row>
    <row r="147" spans="2:4" x14ac:dyDescent="0.35">
      <c r="B147" s="100" t="s">
        <v>376</v>
      </c>
      <c r="C147" s="90" t="s">
        <v>377</v>
      </c>
      <c r="D147" s="85">
        <v>0</v>
      </c>
    </row>
    <row r="148" spans="2:4" x14ac:dyDescent="0.35">
      <c r="B148" s="100" t="s">
        <v>378</v>
      </c>
      <c r="C148" s="90" t="s">
        <v>379</v>
      </c>
      <c r="D148" s="85">
        <v>0</v>
      </c>
    </row>
    <row r="149" spans="2:4" x14ac:dyDescent="0.35">
      <c r="B149" s="100" t="s">
        <v>380</v>
      </c>
      <c r="C149" s="90" t="s">
        <v>381</v>
      </c>
      <c r="D149" s="85">
        <v>0</v>
      </c>
    </row>
    <row r="150" spans="2:4" x14ac:dyDescent="0.35">
      <c r="B150" s="100" t="s">
        <v>382</v>
      </c>
      <c r="C150" s="90" t="s">
        <v>383</v>
      </c>
      <c r="D150" s="85">
        <v>0</v>
      </c>
    </row>
    <row r="151" spans="2:4" x14ac:dyDescent="0.35">
      <c r="B151" s="100" t="s">
        <v>384</v>
      </c>
      <c r="C151" s="90" t="s">
        <v>385</v>
      </c>
      <c r="D151" s="85">
        <v>0</v>
      </c>
    </row>
    <row r="152" spans="2:4" x14ac:dyDescent="0.35">
      <c r="B152" s="100" t="s">
        <v>386</v>
      </c>
      <c r="C152" s="90" t="s">
        <v>387</v>
      </c>
      <c r="D152" s="85">
        <v>0</v>
      </c>
    </row>
    <row r="153" spans="2:4" x14ac:dyDescent="0.35">
      <c r="B153" s="100" t="s">
        <v>388</v>
      </c>
      <c r="C153" s="90" t="s">
        <v>389</v>
      </c>
      <c r="D153" s="85">
        <v>0</v>
      </c>
    </row>
    <row r="154" spans="2:4" x14ac:dyDescent="0.35">
      <c r="B154" s="100" t="s">
        <v>390</v>
      </c>
      <c r="C154" s="90" t="s">
        <v>391</v>
      </c>
      <c r="D154" s="85">
        <v>0</v>
      </c>
    </row>
    <row r="155" spans="2:4" x14ac:dyDescent="0.35">
      <c r="B155" s="100" t="s">
        <v>392</v>
      </c>
      <c r="C155" s="90" t="s">
        <v>393</v>
      </c>
      <c r="D155" s="85">
        <v>0</v>
      </c>
    </row>
    <row r="156" spans="2:4" x14ac:dyDescent="0.35">
      <c r="B156" s="101">
        <v>19</v>
      </c>
      <c r="C156" s="88" t="s">
        <v>394</v>
      </c>
      <c r="D156" s="89">
        <v>-13973.6</v>
      </c>
    </row>
    <row r="157" spans="2:4" x14ac:dyDescent="0.35">
      <c r="B157" s="100" t="s">
        <v>395</v>
      </c>
      <c r="C157" s="90" t="s">
        <v>396</v>
      </c>
      <c r="D157" s="85">
        <v>0</v>
      </c>
    </row>
    <row r="158" spans="2:4" x14ac:dyDescent="0.35">
      <c r="B158" s="100" t="s">
        <v>397</v>
      </c>
      <c r="C158" s="90" t="s">
        <v>398</v>
      </c>
      <c r="D158" s="85">
        <v>-167.2</v>
      </c>
    </row>
    <row r="159" spans="2:4" x14ac:dyDescent="0.35">
      <c r="B159" s="100" t="s">
        <v>399</v>
      </c>
      <c r="C159" s="90" t="s">
        <v>400</v>
      </c>
      <c r="D159" s="85">
        <v>0</v>
      </c>
    </row>
    <row r="160" spans="2:4" x14ac:dyDescent="0.35">
      <c r="B160" s="100" t="s">
        <v>401</v>
      </c>
      <c r="C160" s="90" t="s">
        <v>402</v>
      </c>
      <c r="D160" s="85">
        <v>-13806.4</v>
      </c>
    </row>
    <row r="161" spans="2:4" x14ac:dyDescent="0.35">
      <c r="B161" s="101">
        <v>20</v>
      </c>
      <c r="C161" s="88" t="s">
        <v>403</v>
      </c>
      <c r="D161" s="89">
        <v>0</v>
      </c>
    </row>
    <row r="162" spans="2:4" x14ac:dyDescent="0.35">
      <c r="B162" s="100" t="s">
        <v>404</v>
      </c>
      <c r="C162" s="90" t="s">
        <v>405</v>
      </c>
      <c r="D162" s="85">
        <v>0</v>
      </c>
    </row>
    <row r="163" spans="2:4" x14ac:dyDescent="0.35">
      <c r="B163" s="100" t="s">
        <v>406</v>
      </c>
      <c r="C163" s="90" t="s">
        <v>407</v>
      </c>
      <c r="D163" s="85">
        <v>0</v>
      </c>
    </row>
    <row r="164" spans="2:4" x14ac:dyDescent="0.35">
      <c r="B164" s="100" t="s">
        <v>408</v>
      </c>
      <c r="C164" s="90" t="s">
        <v>409</v>
      </c>
      <c r="D164" s="85">
        <v>0</v>
      </c>
    </row>
    <row r="165" spans="2:4" ht="16" thickBot="1" x14ac:dyDescent="0.4">
      <c r="B165" s="104" t="s">
        <v>410</v>
      </c>
      <c r="C165" s="105" t="s">
        <v>411</v>
      </c>
      <c r="D165" s="93">
        <v>0</v>
      </c>
    </row>
    <row r="166" spans="2:4" ht="16" thickBot="1" x14ac:dyDescent="0.4">
      <c r="B166" s="106"/>
      <c r="C166" s="95"/>
      <c r="D166" s="96"/>
    </row>
    <row r="167" spans="2:4" ht="16" thickBot="1" x14ac:dyDescent="0.4">
      <c r="B167" s="106"/>
      <c r="C167" s="107" t="s">
        <v>112</v>
      </c>
      <c r="D167" s="108">
        <v>-36723.53</v>
      </c>
    </row>
    <row r="168" spans="2:4" ht="16" thickBot="1" x14ac:dyDescent="0.4"/>
    <row r="169" spans="2:4" ht="16" thickBot="1" x14ac:dyDescent="0.4">
      <c r="C169" s="109" t="s">
        <v>412</v>
      </c>
      <c r="D169" s="110">
        <f>+D26+D167</f>
        <v>-11114.989999999998</v>
      </c>
    </row>
  </sheetData>
  <sheetProtection sheet="1" objects="1" scenarios="1"/>
  <hyperlinks>
    <hyperlink ref="G2" location="Despesas!A1" display="Ver lançamentos" xr:uid="{A49B3AB5-A9D1-4603-B219-84204A5250AD}"/>
  </hyperlink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3B7C1-5DA6-47CD-9E26-F2AC021CF8FD}">
  <sheetPr>
    <tabColor theme="5"/>
  </sheetPr>
  <dimension ref="B1:G40"/>
  <sheetViews>
    <sheetView topLeftCell="A3" zoomScale="130" zoomScaleNormal="130" workbookViewId="0">
      <selection activeCell="G6" sqref="G6"/>
    </sheetView>
  </sheetViews>
  <sheetFormatPr defaultRowHeight="13" x14ac:dyDescent="0.3"/>
  <cols>
    <col min="1" max="1" width="2.25" style="126" customWidth="1"/>
    <col min="2" max="2" width="5.25" style="126" bestFit="1" customWidth="1"/>
    <col min="3" max="3" width="56.6640625" style="126" bestFit="1" customWidth="1"/>
    <col min="4" max="4" width="12.4140625" style="126" bestFit="1" customWidth="1"/>
    <col min="5" max="5" width="15" style="126" customWidth="1"/>
    <col min="6" max="6" width="40.1640625" style="126" bestFit="1" customWidth="1"/>
    <col min="7" max="7" width="11.4140625" style="126" bestFit="1" customWidth="1"/>
    <col min="8" max="16384" width="8.6640625" style="126"/>
  </cols>
  <sheetData>
    <row r="1" spans="2:7" ht="13.5" thickBot="1" x14ac:dyDescent="0.35">
      <c r="B1" s="125" t="s">
        <v>417</v>
      </c>
      <c r="E1" s="127" t="s">
        <v>418</v>
      </c>
    </row>
    <row r="2" spans="2:7" ht="14.5" x14ac:dyDescent="0.35">
      <c r="B2" s="128">
        <v>1</v>
      </c>
      <c r="C2" s="129" t="s">
        <v>116</v>
      </c>
      <c r="D2" s="130">
        <v>23057.51</v>
      </c>
      <c r="F2" s="58" t="s">
        <v>0</v>
      </c>
      <c r="G2" s="124"/>
    </row>
    <row r="3" spans="2:7" ht="14.5" x14ac:dyDescent="0.35">
      <c r="B3" s="131" t="s">
        <v>117</v>
      </c>
      <c r="C3" s="132" t="s">
        <v>118</v>
      </c>
      <c r="D3" s="133">
        <v>31162.01</v>
      </c>
      <c r="E3" s="134"/>
      <c r="F3" s="39" t="s">
        <v>1</v>
      </c>
      <c r="G3" s="18"/>
    </row>
    <row r="4" spans="2:7" ht="14.5" x14ac:dyDescent="0.35">
      <c r="B4" s="131" t="s">
        <v>119</v>
      </c>
      <c r="C4" s="136" t="s">
        <v>120</v>
      </c>
      <c r="D4" s="133">
        <v>-8104.5</v>
      </c>
      <c r="E4" s="135" t="s">
        <v>419</v>
      </c>
      <c r="F4" s="13" t="s">
        <v>23</v>
      </c>
      <c r="G4" s="15"/>
    </row>
    <row r="5" spans="2:7" ht="14.5" x14ac:dyDescent="0.35">
      <c r="B5" s="137">
        <v>4</v>
      </c>
      <c r="C5" s="138" t="s">
        <v>140</v>
      </c>
      <c r="D5" s="139">
        <v>4705</v>
      </c>
      <c r="F5" s="16" t="s">
        <v>27</v>
      </c>
      <c r="G5" s="156">
        <v>0</v>
      </c>
    </row>
    <row r="6" spans="2:7" ht="14.5" x14ac:dyDescent="0.35">
      <c r="B6" s="131" t="s">
        <v>141</v>
      </c>
      <c r="C6" s="132" t="s">
        <v>142</v>
      </c>
      <c r="D6" s="133">
        <v>4705</v>
      </c>
      <c r="E6" s="135" t="s">
        <v>420</v>
      </c>
      <c r="F6" s="16" t="s">
        <v>28</v>
      </c>
      <c r="G6" s="156">
        <f>+D20</f>
        <v>-11002.04</v>
      </c>
    </row>
    <row r="7" spans="2:7" ht="15" thickBot="1" x14ac:dyDescent="0.4">
      <c r="B7" s="141"/>
      <c r="C7" s="142"/>
      <c r="D7" s="143"/>
      <c r="F7" s="16" t="s">
        <v>439</v>
      </c>
      <c r="G7" s="156">
        <f>+D21</f>
        <v>-261.47000000000003</v>
      </c>
    </row>
    <row r="8" spans="2:7" ht="15" thickBot="1" x14ac:dyDescent="0.4">
      <c r="B8" s="141"/>
      <c r="C8" s="144" t="s">
        <v>421</v>
      </c>
      <c r="D8" s="145">
        <v>27762.51</v>
      </c>
      <c r="E8" s="146" t="s">
        <v>422</v>
      </c>
      <c r="F8" s="16" t="s">
        <v>414</v>
      </c>
      <c r="G8" s="156">
        <v>0</v>
      </c>
    </row>
    <row r="9" spans="2:7" ht="14" x14ac:dyDescent="0.35">
      <c r="F9" s="16" t="s">
        <v>19</v>
      </c>
      <c r="G9" s="156">
        <f>+D18</f>
        <v>-1800</v>
      </c>
    </row>
    <row r="10" spans="2:7" ht="14.5" x14ac:dyDescent="0.35">
      <c r="B10" s="148">
        <v>8</v>
      </c>
      <c r="C10" s="138" t="s">
        <v>185</v>
      </c>
      <c r="D10" s="139">
        <v>-12973.73</v>
      </c>
      <c r="F10" s="16" t="s">
        <v>20</v>
      </c>
      <c r="G10" s="156">
        <f>+D23</f>
        <v>-711.93</v>
      </c>
    </row>
    <row r="11" spans="2:7" ht="14.5" x14ac:dyDescent="0.35">
      <c r="B11" s="147" t="s">
        <v>216</v>
      </c>
      <c r="C11" s="140" t="s">
        <v>217</v>
      </c>
      <c r="D11" s="133">
        <v>-1883.2299999999996</v>
      </c>
      <c r="E11" s="126" t="s">
        <v>423</v>
      </c>
      <c r="F11" s="16" t="s">
        <v>22</v>
      </c>
      <c r="G11" s="156">
        <f>+D25</f>
        <v>-7.1099999999999994</v>
      </c>
    </row>
    <row r="12" spans="2:7" ht="14.5" x14ac:dyDescent="0.35">
      <c r="B12" s="147" t="s">
        <v>218</v>
      </c>
      <c r="C12" s="140" t="s">
        <v>219</v>
      </c>
      <c r="D12" s="133">
        <v>-11090.5</v>
      </c>
      <c r="E12" s="126" t="s">
        <v>424</v>
      </c>
      <c r="F12" s="16" t="s">
        <v>32</v>
      </c>
      <c r="G12" s="156">
        <v>0</v>
      </c>
    </row>
    <row r="13" spans="2:7" ht="14.5" x14ac:dyDescent="0.35">
      <c r="B13" s="137">
        <v>9</v>
      </c>
      <c r="C13" s="138" t="s">
        <v>242</v>
      </c>
      <c r="D13" s="139">
        <v>-7070.82</v>
      </c>
      <c r="F13" s="16" t="s">
        <v>44</v>
      </c>
      <c r="G13" s="156">
        <f>+D4</f>
        <v>-8104.5</v>
      </c>
    </row>
    <row r="14" spans="2:7" ht="14.5" x14ac:dyDescent="0.35">
      <c r="B14" s="147" t="s">
        <v>245</v>
      </c>
      <c r="C14" s="140" t="s">
        <v>246</v>
      </c>
      <c r="D14" s="133">
        <v>-600</v>
      </c>
      <c r="E14" s="126" t="s">
        <v>425</v>
      </c>
      <c r="F14" s="16" t="s">
        <v>25</v>
      </c>
      <c r="G14" s="156">
        <v>0</v>
      </c>
    </row>
    <row r="15" spans="2:7" ht="14.5" x14ac:dyDescent="0.35">
      <c r="B15" s="147" t="s">
        <v>247</v>
      </c>
      <c r="C15" s="140" t="s">
        <v>248</v>
      </c>
      <c r="D15" s="133">
        <v>-6436.92</v>
      </c>
      <c r="E15" s="126" t="s">
        <v>426</v>
      </c>
      <c r="F15" s="16" t="s">
        <v>24</v>
      </c>
      <c r="G15" s="156">
        <v>0</v>
      </c>
    </row>
    <row r="16" spans="2:7" ht="14.5" x14ac:dyDescent="0.35">
      <c r="B16" s="147" t="s">
        <v>249</v>
      </c>
      <c r="C16" s="140" t="s">
        <v>250</v>
      </c>
      <c r="D16" s="133">
        <v>-33.9</v>
      </c>
      <c r="E16" s="126" t="s">
        <v>427</v>
      </c>
      <c r="F16" s="16" t="s">
        <v>93</v>
      </c>
      <c r="G16" s="156">
        <f>+D13</f>
        <v>-7070.82</v>
      </c>
    </row>
    <row r="17" spans="2:7" ht="14.5" x14ac:dyDescent="0.35">
      <c r="B17" s="148">
        <v>11</v>
      </c>
      <c r="C17" s="138" t="s">
        <v>288</v>
      </c>
      <c r="D17" s="139">
        <v>-1800</v>
      </c>
      <c r="F17" s="16" t="s">
        <v>438</v>
      </c>
      <c r="G17" s="157">
        <f>SUM(G5:G16)</f>
        <v>-28957.870000000003</v>
      </c>
    </row>
    <row r="18" spans="2:7" ht="14.5" x14ac:dyDescent="0.35">
      <c r="B18" s="147" t="s">
        <v>294</v>
      </c>
      <c r="C18" s="140" t="s">
        <v>295</v>
      </c>
      <c r="D18" s="133">
        <v>-1800</v>
      </c>
      <c r="E18" s="135" t="s">
        <v>428</v>
      </c>
      <c r="F18" s="39" t="s">
        <v>95</v>
      </c>
      <c r="G18" s="158"/>
    </row>
    <row r="19" spans="2:7" ht="14.5" x14ac:dyDescent="0.35">
      <c r="B19" s="148">
        <v>12</v>
      </c>
      <c r="C19" s="138" t="s">
        <v>302</v>
      </c>
      <c r="D19" s="139">
        <f>SUM(D20:D21)</f>
        <v>-11263.51</v>
      </c>
      <c r="F19" s="13" t="s">
        <v>33</v>
      </c>
      <c r="G19" s="158"/>
    </row>
    <row r="20" spans="2:7" ht="14.5" x14ac:dyDescent="0.35">
      <c r="B20" s="147" t="s">
        <v>304</v>
      </c>
      <c r="C20" s="149" t="s">
        <v>305</v>
      </c>
      <c r="D20" s="133">
        <v>-11002.04</v>
      </c>
      <c r="E20" s="126" t="s">
        <v>429</v>
      </c>
      <c r="F20" s="16" t="s">
        <v>34</v>
      </c>
      <c r="G20" s="156">
        <f>+D11-8383</f>
        <v>-10266.23</v>
      </c>
    </row>
    <row r="21" spans="2:7" ht="14.5" x14ac:dyDescent="0.35">
      <c r="B21" s="147" t="s">
        <v>306</v>
      </c>
      <c r="C21" s="149" t="s">
        <v>307</v>
      </c>
      <c r="D21" s="133">
        <v>-261.47000000000003</v>
      </c>
      <c r="E21" s="126" t="s">
        <v>430</v>
      </c>
      <c r="F21" s="16" t="s">
        <v>36</v>
      </c>
      <c r="G21" s="156">
        <v>0</v>
      </c>
    </row>
    <row r="22" spans="2:7" ht="14.5" x14ac:dyDescent="0.35">
      <c r="B22" s="148">
        <v>14</v>
      </c>
      <c r="C22" s="138" t="s">
        <v>314</v>
      </c>
      <c r="D22" s="139">
        <v>-711.93000000000006</v>
      </c>
      <c r="F22" s="16" t="s">
        <v>42</v>
      </c>
      <c r="G22" s="156">
        <v>0</v>
      </c>
    </row>
    <row r="23" spans="2:7" ht="14.5" x14ac:dyDescent="0.35">
      <c r="B23" s="147" t="s">
        <v>319</v>
      </c>
      <c r="C23" s="149" t="s">
        <v>20</v>
      </c>
      <c r="D23" s="133">
        <v>-711.93</v>
      </c>
      <c r="E23" s="135" t="s">
        <v>431</v>
      </c>
      <c r="F23" s="16" t="s">
        <v>35</v>
      </c>
      <c r="G23" s="156">
        <v>0</v>
      </c>
    </row>
    <row r="24" spans="2:7" ht="14.5" x14ac:dyDescent="0.35">
      <c r="B24" s="148">
        <v>15</v>
      </c>
      <c r="C24" s="138" t="s">
        <v>320</v>
      </c>
      <c r="D24" s="139">
        <v>-7.1099999999999994</v>
      </c>
      <c r="F24" s="16" t="s">
        <v>437</v>
      </c>
      <c r="G24" s="156">
        <f>-2707.5+D27</f>
        <v>-3607.5</v>
      </c>
    </row>
    <row r="25" spans="2:7" ht="14.5" x14ac:dyDescent="0.35">
      <c r="B25" s="147" t="s">
        <v>321</v>
      </c>
      <c r="C25" s="140" t="s">
        <v>322</v>
      </c>
      <c r="D25" s="133">
        <v>-7.1099999999999994</v>
      </c>
      <c r="E25" s="135" t="s">
        <v>432</v>
      </c>
      <c r="F25" s="16"/>
      <c r="G25" s="157">
        <f>SUM(G20:G24)</f>
        <v>-13873.73</v>
      </c>
    </row>
    <row r="26" spans="2:7" ht="14.5" x14ac:dyDescent="0.35">
      <c r="B26" s="148">
        <v>17</v>
      </c>
      <c r="C26" s="138" t="s">
        <v>328</v>
      </c>
      <c r="D26" s="139">
        <f>+D27+D28</f>
        <v>-3725</v>
      </c>
      <c r="F26" s="13" t="s">
        <v>37</v>
      </c>
      <c r="G26" s="18"/>
    </row>
    <row r="27" spans="2:7" ht="14.5" x14ac:dyDescent="0.35">
      <c r="B27" s="147" t="s">
        <v>329</v>
      </c>
      <c r="C27" s="140" t="s">
        <v>330</v>
      </c>
      <c r="D27" s="133">
        <v>-900</v>
      </c>
      <c r="F27" s="16" t="s">
        <v>38</v>
      </c>
      <c r="G27" s="156">
        <v>0</v>
      </c>
    </row>
    <row r="28" spans="2:7" ht="14.5" x14ac:dyDescent="0.35">
      <c r="B28" s="147" t="s">
        <v>345</v>
      </c>
      <c r="C28" s="140" t="s">
        <v>346</v>
      </c>
      <c r="D28" s="133">
        <v>-2825</v>
      </c>
      <c r="E28" s="135" t="s">
        <v>433</v>
      </c>
      <c r="F28" s="16" t="s">
        <v>39</v>
      </c>
      <c r="G28" s="156">
        <f>+D28</f>
        <v>-2825</v>
      </c>
    </row>
    <row r="29" spans="2:7" ht="14.5" x14ac:dyDescent="0.35">
      <c r="B29" s="148">
        <v>19</v>
      </c>
      <c r="C29" s="138" t="s">
        <v>394</v>
      </c>
      <c r="D29" s="139">
        <v>-10000</v>
      </c>
      <c r="F29" s="16" t="s">
        <v>40</v>
      </c>
      <c r="G29" s="156">
        <v>0</v>
      </c>
    </row>
    <row r="30" spans="2:7" ht="14.5" x14ac:dyDescent="0.35">
      <c r="B30" s="147" t="s">
        <v>401</v>
      </c>
      <c r="C30" s="140" t="s">
        <v>402</v>
      </c>
      <c r="D30" s="133">
        <v>-10000</v>
      </c>
      <c r="E30" s="134"/>
      <c r="F30" s="16"/>
      <c r="G30" s="157">
        <f>SUM(G27:G29)</f>
        <v>-2825</v>
      </c>
    </row>
    <row r="31" spans="2:7" ht="15" thickBot="1" x14ac:dyDescent="0.4">
      <c r="B31" s="150"/>
      <c r="C31" s="142"/>
      <c r="D31" s="143"/>
      <c r="F31" s="13" t="s">
        <v>41</v>
      </c>
      <c r="G31" s="18"/>
    </row>
    <row r="32" spans="2:7" ht="15" thickBot="1" x14ac:dyDescent="0.4">
      <c r="B32" s="150"/>
      <c r="C32" s="151" t="s">
        <v>421</v>
      </c>
      <c r="D32" s="152">
        <v>-47552.1</v>
      </c>
      <c r="E32" s="135" t="s">
        <v>434</v>
      </c>
      <c r="F32" s="16" t="s">
        <v>43</v>
      </c>
      <c r="G32" s="156">
        <f>+D29</f>
        <v>-10000</v>
      </c>
    </row>
    <row r="33" spans="3:7" ht="14.5" thickBot="1" x14ac:dyDescent="0.4">
      <c r="F33" s="16" t="s">
        <v>45</v>
      </c>
      <c r="G33" s="156">
        <v>0</v>
      </c>
    </row>
    <row r="34" spans="3:7" ht="15" thickBot="1" x14ac:dyDescent="0.4">
      <c r="C34" s="153" t="s">
        <v>435</v>
      </c>
      <c r="D34" s="154">
        <f>+D8+D32</f>
        <v>-19789.59</v>
      </c>
      <c r="E34" s="155" t="s">
        <v>436</v>
      </c>
      <c r="F34" s="16" t="s">
        <v>94</v>
      </c>
      <c r="G34" s="156">
        <v>0</v>
      </c>
    </row>
    <row r="35" spans="3:7" ht="14" x14ac:dyDescent="0.35">
      <c r="F35" s="16"/>
      <c r="G35" s="157">
        <f>SUM(G32:G34)</f>
        <v>-10000</v>
      </c>
    </row>
    <row r="36" spans="3:7" ht="14" x14ac:dyDescent="0.35">
      <c r="F36" s="13"/>
      <c r="G36" s="18"/>
    </row>
    <row r="37" spans="3:7" ht="14" x14ac:dyDescent="0.35">
      <c r="F37" s="60" t="s">
        <v>112</v>
      </c>
      <c r="G37" s="159">
        <f>+G17+G25+G30+G35</f>
        <v>-55656.600000000006</v>
      </c>
    </row>
    <row r="38" spans="3:7" x14ac:dyDescent="0.3">
      <c r="E38" s="135"/>
    </row>
    <row r="39" spans="3:7" x14ac:dyDescent="0.3">
      <c r="E39" s="135"/>
    </row>
    <row r="40" spans="3:7" x14ac:dyDescent="0.3">
      <c r="E40" s="135"/>
    </row>
  </sheetData>
  <sheetProtection sheet="1" objects="1" scenarios="1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D19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15A6B-30EB-4D40-A6C0-EBC274C499F3}">
  <sheetPr>
    <tabColor rgb="FFCC9900"/>
  </sheetPr>
  <dimension ref="B1:L48"/>
  <sheetViews>
    <sheetView topLeftCell="A16" zoomScale="130" zoomScaleNormal="130" workbookViewId="0">
      <selection activeCell="G41" sqref="G41"/>
    </sheetView>
  </sheetViews>
  <sheetFormatPr defaultRowHeight="15.5" x14ac:dyDescent="0.35"/>
  <cols>
    <col min="1" max="1" width="3.5" style="263" customWidth="1"/>
    <col min="2" max="2" width="18.75" style="263" customWidth="1"/>
    <col min="3" max="3" width="14.33203125" style="263" customWidth="1"/>
    <col min="4" max="4" width="3.75" style="263" customWidth="1"/>
    <col min="5" max="5" width="46.58203125" style="263" customWidth="1"/>
    <col min="6" max="6" width="14.33203125" style="263" bestFit="1" customWidth="1"/>
    <col min="7" max="7" width="15.25" style="263" bestFit="1" customWidth="1"/>
    <col min="8" max="8" width="20.58203125" style="263" bestFit="1" customWidth="1"/>
    <col min="9" max="9" width="6" style="264" bestFit="1" customWidth="1"/>
    <col min="10" max="10" width="8.6640625" style="265" customWidth="1"/>
    <col min="11" max="11" width="8.6640625" style="263"/>
    <col min="12" max="12" width="13.25" style="263" bestFit="1" customWidth="1"/>
    <col min="13" max="16384" width="8.6640625" style="263"/>
  </cols>
  <sheetData>
    <row r="1" spans="2:10" ht="16" thickBot="1" x14ac:dyDescent="0.4"/>
    <row r="2" spans="2:10" x14ac:dyDescent="0.35">
      <c r="B2" s="266" t="s">
        <v>445</v>
      </c>
      <c r="C2" s="267">
        <v>23085.91</v>
      </c>
      <c r="E2" s="268" t="s">
        <v>448</v>
      </c>
      <c r="F2" s="269" t="s">
        <v>449</v>
      </c>
      <c r="G2" s="269" t="s">
        <v>450</v>
      </c>
      <c r="H2" s="270" t="s">
        <v>451</v>
      </c>
      <c r="I2" s="271" t="s">
        <v>503</v>
      </c>
      <c r="J2" s="272" t="s">
        <v>476</v>
      </c>
    </row>
    <row r="3" spans="2:10" x14ac:dyDescent="0.35">
      <c r="B3" s="273"/>
      <c r="C3" s="274"/>
      <c r="E3" s="275" t="s">
        <v>447</v>
      </c>
      <c r="F3" s="276">
        <v>132353</v>
      </c>
      <c r="G3" s="277">
        <v>60673.009999999995</v>
      </c>
      <c r="H3" s="278">
        <f>+G3*3</f>
        <v>182019.02999999997</v>
      </c>
      <c r="I3" s="279">
        <f>+H3/$H$6</f>
        <v>0.64293837472422777</v>
      </c>
      <c r="J3" s="265" t="s">
        <v>477</v>
      </c>
    </row>
    <row r="4" spans="2:10" x14ac:dyDescent="0.35">
      <c r="B4" s="273"/>
      <c r="C4" s="274"/>
      <c r="E4" s="275" t="s">
        <v>456</v>
      </c>
      <c r="F4" s="276">
        <v>6801.11</v>
      </c>
      <c r="G4" s="277">
        <v>8667.4500000000007</v>
      </c>
      <c r="H4" s="278">
        <v>0</v>
      </c>
      <c r="I4" s="279">
        <f t="shared" ref="I4:I5" si="0">+H4/$H$6</f>
        <v>0</v>
      </c>
      <c r="J4" s="265" t="s">
        <v>478</v>
      </c>
    </row>
    <row r="5" spans="2:10" ht="16" thickBot="1" x14ac:dyDescent="0.4">
      <c r="B5" s="273"/>
      <c r="C5" s="274"/>
      <c r="E5" s="280" t="s">
        <v>470</v>
      </c>
      <c r="F5" s="281">
        <v>0</v>
      </c>
      <c r="G5" s="282">
        <v>0</v>
      </c>
      <c r="H5" s="283">
        <f>+C11+C2-H29</f>
        <v>101085.91</v>
      </c>
      <c r="I5" s="279">
        <f t="shared" si="0"/>
        <v>0.3570616252757724</v>
      </c>
      <c r="J5" s="265" t="s">
        <v>479</v>
      </c>
    </row>
    <row r="6" spans="2:10" ht="16.5" thickTop="1" thickBot="1" x14ac:dyDescent="0.4">
      <c r="B6" s="273"/>
      <c r="C6" s="274"/>
      <c r="E6" s="284" t="s">
        <v>452</v>
      </c>
      <c r="F6" s="285">
        <f>SUM(F3:F5)</f>
        <v>139154.10999999999</v>
      </c>
      <c r="G6" s="285">
        <f>SUM(G3:G5)</f>
        <v>69340.459999999992</v>
      </c>
      <c r="H6" s="286">
        <f>SUM(H3:H5)</f>
        <v>283104.93999999994</v>
      </c>
      <c r="I6" s="287">
        <f>+H6/(H6+H30)</f>
        <v>0.66798390826294174</v>
      </c>
      <c r="J6" s="265" t="s">
        <v>504</v>
      </c>
    </row>
    <row r="7" spans="2:10" ht="5.5" customHeight="1" thickBot="1" x14ac:dyDescent="0.4">
      <c r="B7" s="273"/>
      <c r="C7" s="274"/>
      <c r="E7" s="288"/>
      <c r="F7" s="288"/>
      <c r="G7" s="288"/>
      <c r="H7" s="288"/>
    </row>
    <row r="8" spans="2:10" x14ac:dyDescent="0.35">
      <c r="B8" s="273"/>
      <c r="C8" s="274"/>
      <c r="E8" s="289" t="s">
        <v>454</v>
      </c>
      <c r="F8" s="290" t="s">
        <v>449</v>
      </c>
      <c r="G8" s="290" t="s">
        <v>450</v>
      </c>
      <c r="H8" s="291" t="s">
        <v>451</v>
      </c>
      <c r="I8" s="292" t="s">
        <v>503</v>
      </c>
    </row>
    <row r="9" spans="2:10" ht="16" thickBot="1" x14ac:dyDescent="0.4">
      <c r="B9" s="293"/>
      <c r="C9" s="294"/>
      <c r="E9" s="295" t="s">
        <v>27</v>
      </c>
      <c r="F9" s="296">
        <v>-1192</v>
      </c>
      <c r="G9" s="297">
        <v>-1212</v>
      </c>
      <c r="H9" s="298">
        <f>-1212*1.1</f>
        <v>-1333.2</v>
      </c>
      <c r="I9" s="299">
        <f>+H9/$H$22</f>
        <v>7.9219572411110082E-3</v>
      </c>
      <c r="J9" s="265" t="s">
        <v>480</v>
      </c>
    </row>
    <row r="10" spans="2:10" ht="16" thickBot="1" x14ac:dyDescent="0.4">
      <c r="E10" s="295" t="s">
        <v>28</v>
      </c>
      <c r="F10" s="296">
        <v>-15026</v>
      </c>
      <c r="G10" s="297">
        <v>-11002.04</v>
      </c>
      <c r="H10" s="298">
        <f>+G10*1.1</f>
        <v>-12102.244000000002</v>
      </c>
      <c r="I10" s="299">
        <f t="shared" ref="I10:I21" si="1">+H10/$H$22</f>
        <v>7.1912285845703763E-2</v>
      </c>
      <c r="J10" s="265" t="s">
        <v>480</v>
      </c>
    </row>
    <row r="11" spans="2:10" x14ac:dyDescent="0.35">
      <c r="B11" s="266" t="s">
        <v>446</v>
      </c>
      <c r="C11" s="267">
        <v>161127.06</v>
      </c>
      <c r="E11" s="295" t="s">
        <v>465</v>
      </c>
      <c r="F11" s="296">
        <v>0</v>
      </c>
      <c r="G11" s="297">
        <v>0</v>
      </c>
      <c r="H11" s="298">
        <v>-30000</v>
      </c>
      <c r="I11" s="299">
        <f t="shared" si="1"/>
        <v>0.17826186411140882</v>
      </c>
      <c r="J11" s="265" t="s">
        <v>497</v>
      </c>
    </row>
    <row r="12" spans="2:10" x14ac:dyDescent="0.35">
      <c r="B12" s="273"/>
      <c r="C12" s="274"/>
      <c r="E12" s="295" t="s">
        <v>439</v>
      </c>
      <c r="F12" s="296">
        <f>-2454.33-480</f>
        <v>-2934.33</v>
      </c>
      <c r="G12" s="297">
        <v>-261.47000000000003</v>
      </c>
      <c r="H12" s="298">
        <f>+F12*2</f>
        <v>-5868.66</v>
      </c>
      <c r="I12" s="299">
        <f t="shared" si="1"/>
        <v>3.487194238120201E-2</v>
      </c>
      <c r="J12" s="265" t="s">
        <v>498</v>
      </c>
    </row>
    <row r="13" spans="2:10" x14ac:dyDescent="0.35">
      <c r="B13" s="273"/>
      <c r="C13" s="274"/>
      <c r="E13" s="295" t="s">
        <v>601</v>
      </c>
      <c r="F13" s="296">
        <v>-1100</v>
      </c>
      <c r="G13" s="297">
        <v>-577.62</v>
      </c>
      <c r="H13" s="298">
        <f>+G13*3</f>
        <v>-1732.8600000000001</v>
      </c>
      <c r="I13" s="299">
        <f t="shared" si="1"/>
        <v>1.0296761794803197E-2</v>
      </c>
      <c r="J13" s="265" t="s">
        <v>499</v>
      </c>
    </row>
    <row r="14" spans="2:10" x14ac:dyDescent="0.35">
      <c r="B14" s="273"/>
      <c r="C14" s="274"/>
      <c r="E14" s="295" t="s">
        <v>19</v>
      </c>
      <c r="F14" s="296">
        <v>-8268</v>
      </c>
      <c r="G14" s="297">
        <v>-3600</v>
      </c>
      <c r="H14" s="298">
        <f>+G14*3</f>
        <v>-10800</v>
      </c>
      <c r="I14" s="299">
        <f t="shared" si="1"/>
        <v>6.4174271080107176E-2</v>
      </c>
      <c r="J14" s="265" t="s">
        <v>477</v>
      </c>
    </row>
    <row r="15" spans="2:10" ht="16" thickBot="1" x14ac:dyDescent="0.4">
      <c r="B15" s="293"/>
      <c r="C15" s="294"/>
      <c r="E15" s="295" t="s">
        <v>20</v>
      </c>
      <c r="F15" s="296">
        <v>-4185</v>
      </c>
      <c r="G15" s="297">
        <v>-1864.3400000000001</v>
      </c>
      <c r="H15" s="298">
        <v>-500</v>
      </c>
      <c r="I15" s="299">
        <f t="shared" si="1"/>
        <v>2.9710310685234801E-3</v>
      </c>
      <c r="J15" s="265" t="s">
        <v>482</v>
      </c>
    </row>
    <row r="16" spans="2:10" x14ac:dyDescent="0.35">
      <c r="E16" s="295" t="s">
        <v>22</v>
      </c>
      <c r="F16" s="296">
        <v>-390.76</v>
      </c>
      <c r="G16" s="297">
        <v>-1886.8799999999999</v>
      </c>
      <c r="H16" s="298">
        <v>-500</v>
      </c>
      <c r="I16" s="299">
        <f t="shared" si="1"/>
        <v>2.9710310685234801E-3</v>
      </c>
      <c r="J16" s="265" t="s">
        <v>483</v>
      </c>
    </row>
    <row r="17" spans="5:12" x14ac:dyDescent="0.35">
      <c r="E17" s="295" t="s">
        <v>32</v>
      </c>
      <c r="F17" s="296">
        <v>-11600</v>
      </c>
      <c r="G17" s="297">
        <v>0</v>
      </c>
      <c r="H17" s="298">
        <f>+F17</f>
        <v>-11600</v>
      </c>
      <c r="I17" s="299">
        <f t="shared" si="1"/>
        <v>6.8927920789744745E-2</v>
      </c>
      <c r="J17" s="265" t="s">
        <v>484</v>
      </c>
    </row>
    <row r="18" spans="5:12" x14ac:dyDescent="0.35">
      <c r="E18" s="295" t="s">
        <v>44</v>
      </c>
      <c r="F18" s="296">
        <v>-40148.3293185</v>
      </c>
      <c r="G18" s="297">
        <v>-16169.41</v>
      </c>
      <c r="H18" s="298">
        <f>+G18*3</f>
        <v>-48508.229999999996</v>
      </c>
      <c r="I18" s="299">
        <f t="shared" si="1"/>
        <v>0.28823891681816544</v>
      </c>
      <c r="J18" s="265" t="s">
        <v>477</v>
      </c>
    </row>
    <row r="19" spans="5:12" x14ac:dyDescent="0.35">
      <c r="E19" s="295" t="s">
        <v>25</v>
      </c>
      <c r="F19" s="296">
        <v>-9754.5499999999993</v>
      </c>
      <c r="G19" s="297">
        <v>-8567.09</v>
      </c>
      <c r="H19" s="298">
        <f>+G19</f>
        <v>-8567.09</v>
      </c>
      <c r="I19" s="299">
        <f t="shared" si="1"/>
        <v>5.0906181113673642E-2</v>
      </c>
      <c r="J19" s="265" t="s">
        <v>485</v>
      </c>
    </row>
    <row r="20" spans="5:12" x14ac:dyDescent="0.35">
      <c r="E20" s="295" t="s">
        <v>24</v>
      </c>
      <c r="F20" s="296">
        <f>-5679-4699</f>
        <v>-10378</v>
      </c>
      <c r="G20" s="297">
        <v>-49.86</v>
      </c>
      <c r="H20" s="298">
        <f>+F20*1.5</f>
        <v>-15567</v>
      </c>
      <c r="I20" s="299">
        <f t="shared" si="1"/>
        <v>9.2500081287410038E-2</v>
      </c>
      <c r="J20" s="265" t="s">
        <v>486</v>
      </c>
      <c r="L20" s="300"/>
    </row>
    <row r="21" spans="5:12" ht="16" thickBot="1" x14ac:dyDescent="0.4">
      <c r="E21" s="301" t="s">
        <v>93</v>
      </c>
      <c r="F21" s="302">
        <v>-4400</v>
      </c>
      <c r="G21" s="302">
        <v>-7070.82</v>
      </c>
      <c r="H21" s="303">
        <f>+G21*3</f>
        <v>-21212.46</v>
      </c>
      <c r="I21" s="299">
        <f t="shared" si="1"/>
        <v>0.12604575539962315</v>
      </c>
      <c r="J21" s="265" t="s">
        <v>477</v>
      </c>
      <c r="L21" s="300"/>
    </row>
    <row r="22" spans="5:12" ht="16.5" thickTop="1" thickBot="1" x14ac:dyDescent="0.4">
      <c r="E22" s="304" t="s">
        <v>453</v>
      </c>
      <c r="F22" s="305">
        <f>SUM(F9:F21)</f>
        <v>-109376.96931850001</v>
      </c>
      <c r="G22" s="305">
        <f>SUM(G9:G21)</f>
        <v>-52261.530000000006</v>
      </c>
      <c r="H22" s="306">
        <f>SUM(H9:H21)</f>
        <v>-168291.74400000001</v>
      </c>
      <c r="I22" s="307">
        <f>+H22/(H22+H44)</f>
        <v>0.46790969597156196</v>
      </c>
      <c r="J22" s="265" t="s">
        <v>505</v>
      </c>
      <c r="L22" s="300"/>
    </row>
    <row r="23" spans="5:12" ht="5.5" customHeight="1" thickBot="1" x14ac:dyDescent="0.4">
      <c r="L23" s="300"/>
    </row>
    <row r="24" spans="5:12" ht="16" thickBot="1" x14ac:dyDescent="0.4">
      <c r="E24" s="308" t="s">
        <v>471</v>
      </c>
      <c r="F24" s="309">
        <f>+F6+F22</f>
        <v>29777.140681499979</v>
      </c>
      <c r="G24" s="309">
        <f>+G6+G22</f>
        <v>17078.929999999986</v>
      </c>
      <c r="H24" s="310">
        <f>+H6+H22</f>
        <v>114813.19599999994</v>
      </c>
      <c r="I24" s="265"/>
      <c r="L24" s="300"/>
    </row>
    <row r="25" spans="5:12" ht="16" thickBot="1" x14ac:dyDescent="0.4">
      <c r="L25" s="300"/>
    </row>
    <row r="26" spans="5:12" x14ac:dyDescent="0.35">
      <c r="E26" s="311" t="s">
        <v>455</v>
      </c>
      <c r="F26" s="312" t="s">
        <v>449</v>
      </c>
      <c r="G26" s="312" t="s">
        <v>450</v>
      </c>
      <c r="H26" s="313" t="s">
        <v>451</v>
      </c>
      <c r="I26" s="314" t="s">
        <v>503</v>
      </c>
      <c r="L26" s="300"/>
    </row>
    <row r="27" spans="5:12" x14ac:dyDescent="0.35">
      <c r="E27" s="315" t="s">
        <v>17</v>
      </c>
      <c r="F27" s="316">
        <v>28794</v>
      </c>
      <c r="G27" s="316">
        <v>0</v>
      </c>
      <c r="H27" s="317">
        <f>+F27*2</f>
        <v>57588</v>
      </c>
      <c r="I27" s="318">
        <f>+H27/$H$30</f>
        <v>0.40925257040717605</v>
      </c>
      <c r="J27" s="265" t="s">
        <v>487</v>
      </c>
      <c r="L27" s="300"/>
    </row>
    <row r="28" spans="5:12" x14ac:dyDescent="0.35">
      <c r="E28" s="315" t="s">
        <v>15</v>
      </c>
      <c r="F28" s="316">
        <v>0</v>
      </c>
      <c r="G28" s="316">
        <v>200</v>
      </c>
      <c r="H28" s="317">
        <f>+F28*2</f>
        <v>0</v>
      </c>
      <c r="I28" s="318">
        <f t="shared" ref="I28:I29" si="2">+H28/$H$30</f>
        <v>0</v>
      </c>
      <c r="J28" s="265" t="s">
        <v>488</v>
      </c>
      <c r="L28" s="300"/>
    </row>
    <row r="29" spans="5:12" ht="16" thickBot="1" x14ac:dyDescent="0.4">
      <c r="E29" s="319" t="s">
        <v>469</v>
      </c>
      <c r="F29" s="320">
        <v>0</v>
      </c>
      <c r="G29" s="320">
        <v>0</v>
      </c>
      <c r="H29" s="321">
        <v>83127.06</v>
      </c>
      <c r="I29" s="318">
        <f t="shared" si="2"/>
        <v>0.590747429592824</v>
      </c>
      <c r="L29" s="300"/>
    </row>
    <row r="30" spans="5:12" ht="16.5" thickTop="1" thickBot="1" x14ac:dyDescent="0.4">
      <c r="E30" s="322" t="s">
        <v>457</v>
      </c>
      <c r="F30" s="323">
        <f>SUM(F26:F29)</f>
        <v>28794</v>
      </c>
      <c r="G30" s="323">
        <f t="shared" ref="G30:H30" si="3">SUM(G26:G29)</f>
        <v>200</v>
      </c>
      <c r="H30" s="324">
        <f t="shared" si="3"/>
        <v>140715.06</v>
      </c>
      <c r="I30" s="325">
        <f>+H30/(H30+H6)</f>
        <v>0.33201609173705821</v>
      </c>
      <c r="J30" s="265" t="s">
        <v>506</v>
      </c>
      <c r="L30" s="300"/>
    </row>
    <row r="31" spans="5:12" ht="5.5" customHeight="1" thickBot="1" x14ac:dyDescent="0.4">
      <c r="E31" s="288"/>
      <c r="F31" s="288"/>
      <c r="G31" s="288"/>
      <c r="H31" s="288"/>
      <c r="L31" s="300"/>
    </row>
    <row r="32" spans="5:12" x14ac:dyDescent="0.35">
      <c r="E32" s="326" t="s">
        <v>458</v>
      </c>
      <c r="F32" s="327" t="s">
        <v>449</v>
      </c>
      <c r="G32" s="327" t="s">
        <v>450</v>
      </c>
      <c r="H32" s="328" t="s">
        <v>451</v>
      </c>
      <c r="I32" s="329" t="s">
        <v>503</v>
      </c>
      <c r="L32" s="300"/>
    </row>
    <row r="33" spans="5:12" x14ac:dyDescent="0.35">
      <c r="E33" s="330" t="s">
        <v>466</v>
      </c>
      <c r="F33" s="331">
        <v>0</v>
      </c>
      <c r="G33" s="332">
        <v>0</v>
      </c>
      <c r="H33" s="333">
        <f>-60*750</f>
        <v>-45000</v>
      </c>
      <c r="I33" s="334">
        <f>+H33/$H$44</f>
        <v>0.23513993961606347</v>
      </c>
      <c r="J33" s="265" t="s">
        <v>500</v>
      </c>
      <c r="L33" s="300"/>
    </row>
    <row r="34" spans="5:12" x14ac:dyDescent="0.35">
      <c r="E34" s="330" t="s">
        <v>460</v>
      </c>
      <c r="F34" s="331">
        <v>0</v>
      </c>
      <c r="G34" s="332">
        <v>-2707.5</v>
      </c>
      <c r="H34" s="333">
        <f>-6000*5</f>
        <v>-30000</v>
      </c>
      <c r="I34" s="334">
        <f t="shared" ref="I34:I43" si="4">+H34/$H$44</f>
        <v>0.15675995974404233</v>
      </c>
      <c r="J34" s="265" t="s">
        <v>501</v>
      </c>
      <c r="L34" s="300"/>
    </row>
    <row r="35" spans="5:12" x14ac:dyDescent="0.35">
      <c r="E35" s="330" t="s">
        <v>459</v>
      </c>
      <c r="F35" s="331">
        <v>0</v>
      </c>
      <c r="G35" s="332">
        <f>-1845-10266.23</f>
        <v>-12111.23</v>
      </c>
      <c r="H35" s="333">
        <v>-6000</v>
      </c>
      <c r="I35" s="334">
        <f t="shared" si="4"/>
        <v>3.1351991948808465E-2</v>
      </c>
      <c r="J35" s="265" t="s">
        <v>490</v>
      </c>
      <c r="L35" s="300"/>
    </row>
    <row r="36" spans="5:12" x14ac:dyDescent="0.35">
      <c r="E36" s="330" t="s">
        <v>464</v>
      </c>
      <c r="F36" s="331">
        <v>-12000</v>
      </c>
      <c r="G36" s="332">
        <v>0</v>
      </c>
      <c r="H36" s="333">
        <v>-24000</v>
      </c>
      <c r="I36" s="334">
        <f t="shared" si="4"/>
        <v>0.12540796779523386</v>
      </c>
      <c r="J36" s="265" t="s">
        <v>491</v>
      </c>
      <c r="L36" s="300"/>
    </row>
    <row r="37" spans="5:12" x14ac:dyDescent="0.35">
      <c r="E37" s="335" t="s">
        <v>92</v>
      </c>
      <c r="F37" s="336">
        <v>-2362</v>
      </c>
      <c r="G37" s="337">
        <v>-900</v>
      </c>
      <c r="H37" s="338">
        <f>+G37*3</f>
        <v>-2700</v>
      </c>
      <c r="I37" s="334">
        <f t="shared" si="4"/>
        <v>1.4108396376963808E-2</v>
      </c>
      <c r="J37" s="265" t="s">
        <v>502</v>
      </c>
      <c r="L37" s="300"/>
    </row>
    <row r="38" spans="5:12" x14ac:dyDescent="0.35">
      <c r="E38" s="335" t="s">
        <v>467</v>
      </c>
      <c r="F38" s="336">
        <v>-8000</v>
      </c>
      <c r="G38" s="337">
        <f>-2882.33-2825</f>
        <v>-5707.33</v>
      </c>
      <c r="H38" s="338">
        <v>-16000</v>
      </c>
      <c r="I38" s="334">
        <f t="shared" si="4"/>
        <v>8.360531186348924E-2</v>
      </c>
      <c r="J38" s="265" t="s">
        <v>502</v>
      </c>
      <c r="L38" s="300"/>
    </row>
    <row r="39" spans="5:12" x14ac:dyDescent="0.35">
      <c r="E39" s="330" t="s">
        <v>43</v>
      </c>
      <c r="F39" s="331">
        <v>-24520</v>
      </c>
      <c r="G39" s="332">
        <v>-23973.599999999999</v>
      </c>
      <c r="H39" s="333">
        <f>+F39</f>
        <v>-24520</v>
      </c>
      <c r="I39" s="334">
        <f t="shared" si="4"/>
        <v>0.12812514043079726</v>
      </c>
      <c r="J39" s="265" t="s">
        <v>440</v>
      </c>
      <c r="L39" s="300"/>
    </row>
    <row r="40" spans="5:12" x14ac:dyDescent="0.35">
      <c r="E40" s="330" t="s">
        <v>462</v>
      </c>
      <c r="F40" s="331">
        <v>0</v>
      </c>
      <c r="G40" s="332">
        <v>0</v>
      </c>
      <c r="H40" s="333">
        <v>-7500</v>
      </c>
      <c r="I40" s="334">
        <f t="shared" si="4"/>
        <v>3.9189989936010583E-2</v>
      </c>
      <c r="J40" s="265" t="s">
        <v>492</v>
      </c>
    </row>
    <row r="41" spans="5:12" x14ac:dyDescent="0.35">
      <c r="E41" s="330" t="s">
        <v>461</v>
      </c>
      <c r="F41" s="331">
        <v>0</v>
      </c>
      <c r="G41" s="332">
        <v>-2783.85</v>
      </c>
      <c r="H41" s="333">
        <f>+G41*2</f>
        <v>-5567.7</v>
      </c>
      <c r="I41" s="334">
        <f t="shared" si="4"/>
        <v>2.9093080928896814E-2</v>
      </c>
      <c r="J41" s="265" t="s">
        <v>499</v>
      </c>
    </row>
    <row r="42" spans="5:12" x14ac:dyDescent="0.35">
      <c r="E42" s="330" t="s">
        <v>463</v>
      </c>
      <c r="F42" s="331">
        <v>0</v>
      </c>
      <c r="G42" s="332">
        <v>0</v>
      </c>
      <c r="H42" s="333">
        <f>+H41</f>
        <v>-5567.7</v>
      </c>
      <c r="I42" s="334">
        <f t="shared" si="4"/>
        <v>2.9093080928896814E-2</v>
      </c>
      <c r="J42" s="265" t="s">
        <v>493</v>
      </c>
    </row>
    <row r="43" spans="5:12" ht="16" thickBot="1" x14ac:dyDescent="0.4">
      <c r="E43" s="339" t="s">
        <v>511</v>
      </c>
      <c r="F43" s="340">
        <v>0</v>
      </c>
      <c r="G43" s="341">
        <v>0</v>
      </c>
      <c r="H43" s="342">
        <f>+H39</f>
        <v>-24520</v>
      </c>
      <c r="I43" s="334">
        <f t="shared" si="4"/>
        <v>0.12812514043079726</v>
      </c>
      <c r="J43" s="265" t="s">
        <v>494</v>
      </c>
    </row>
    <row r="44" spans="5:12" ht="16.5" thickTop="1" thickBot="1" x14ac:dyDescent="0.4">
      <c r="E44" s="343" t="s">
        <v>453</v>
      </c>
      <c r="F44" s="344">
        <f>SUM(F33:F43)</f>
        <v>-46882</v>
      </c>
      <c r="G44" s="344">
        <f>SUM(G33:G43)</f>
        <v>-48183.509999999995</v>
      </c>
      <c r="H44" s="345">
        <f>SUM(H33:H43)</f>
        <v>-191375.40000000002</v>
      </c>
      <c r="I44" s="346">
        <f>+H44/(H44+H22)</f>
        <v>0.53209030402843804</v>
      </c>
      <c r="J44" s="265" t="s">
        <v>507</v>
      </c>
    </row>
    <row r="45" spans="5:12" ht="5.5" customHeight="1" thickBot="1" x14ac:dyDescent="0.4">
      <c r="L45" s="300"/>
    </row>
    <row r="46" spans="5:12" ht="16" thickBot="1" x14ac:dyDescent="0.4">
      <c r="E46" s="308" t="s">
        <v>472</v>
      </c>
      <c r="F46" s="309">
        <f>+F30+F44</f>
        <v>-18088</v>
      </c>
      <c r="G46" s="309">
        <f>+G30+G44</f>
        <v>-47983.509999999995</v>
      </c>
      <c r="H46" s="347">
        <f>+H30+H44</f>
        <v>-50660.340000000026</v>
      </c>
      <c r="I46" s="265"/>
      <c r="J46" s="265" t="s">
        <v>509</v>
      </c>
      <c r="L46" s="300"/>
    </row>
    <row r="47" spans="5:12" ht="16" thickBot="1" x14ac:dyDescent="0.4"/>
    <row r="48" spans="5:12" ht="16" thickBot="1" x14ac:dyDescent="0.4">
      <c r="E48" s="348" t="s">
        <v>473</v>
      </c>
      <c r="F48" s="349">
        <f>+F24+F46</f>
        <v>11689.140681499979</v>
      </c>
      <c r="G48" s="349">
        <f>+G24+G46</f>
        <v>-30904.580000000009</v>
      </c>
      <c r="H48" s="350">
        <f>+H24+H46</f>
        <v>64152.855999999912</v>
      </c>
      <c r="I48" s="265"/>
      <c r="J48" s="265" t="s">
        <v>510</v>
      </c>
    </row>
  </sheetData>
  <sheetProtection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B160A-8411-44BC-91D7-027DD085F0F4}">
  <sheetPr>
    <tabColor theme="5"/>
  </sheetPr>
  <dimension ref="B1:G48"/>
  <sheetViews>
    <sheetView topLeftCell="B1" zoomScaleNormal="100" workbookViewId="0">
      <selection activeCell="D7" sqref="D7"/>
    </sheetView>
  </sheetViews>
  <sheetFormatPr defaultRowHeight="13" x14ac:dyDescent="0.3"/>
  <cols>
    <col min="1" max="1" width="2.25" style="126" customWidth="1"/>
    <col min="2" max="2" width="5.25" style="126" bestFit="1" customWidth="1"/>
    <col min="3" max="3" width="56.6640625" style="126" bestFit="1" customWidth="1"/>
    <col min="4" max="4" width="12.4140625" style="126" bestFit="1" customWidth="1"/>
    <col min="5" max="5" width="15" style="126" customWidth="1"/>
    <col min="6" max="6" width="43.6640625" style="126" bestFit="1" customWidth="1"/>
    <col min="7" max="7" width="12.5" style="126" bestFit="1" customWidth="1"/>
    <col min="8" max="16384" width="8.6640625" style="126"/>
  </cols>
  <sheetData>
    <row r="1" spans="2:7" ht="13.5" thickBot="1" x14ac:dyDescent="0.35">
      <c r="B1" s="125" t="s">
        <v>512</v>
      </c>
      <c r="E1" s="127" t="s">
        <v>418</v>
      </c>
    </row>
    <row r="2" spans="2:7" ht="14.5" x14ac:dyDescent="0.35">
      <c r="B2" s="128">
        <v>1</v>
      </c>
      <c r="C2" s="129" t="s">
        <v>116</v>
      </c>
      <c r="D2" s="130">
        <f>+D3+D4</f>
        <v>22318.5</v>
      </c>
      <c r="F2" s="268" t="s">
        <v>448</v>
      </c>
      <c r="G2" s="270" t="s">
        <v>512</v>
      </c>
    </row>
    <row r="3" spans="2:7" ht="14.5" x14ac:dyDescent="0.35">
      <c r="B3" s="131" t="s">
        <v>117</v>
      </c>
      <c r="C3" s="132" t="s">
        <v>118</v>
      </c>
      <c r="D3" s="133">
        <f>10228+10067+10379</f>
        <v>30674</v>
      </c>
      <c r="E3" s="354" t="s">
        <v>519</v>
      </c>
      <c r="F3" s="275" t="s">
        <v>447</v>
      </c>
      <c r="G3" s="278">
        <f>+D3</f>
        <v>30674</v>
      </c>
    </row>
    <row r="4" spans="2:7" ht="14.5" x14ac:dyDescent="0.35">
      <c r="B4" s="131" t="s">
        <v>119</v>
      </c>
      <c r="C4" s="136" t="s">
        <v>120</v>
      </c>
      <c r="D4" s="133">
        <v>-8355.5</v>
      </c>
      <c r="E4" s="135" t="s">
        <v>517</v>
      </c>
      <c r="F4" s="275" t="s">
        <v>456</v>
      </c>
      <c r="G4" s="278">
        <f>+D8</f>
        <v>2069.9699999999998</v>
      </c>
    </row>
    <row r="5" spans="2:7" ht="15" thickBot="1" x14ac:dyDescent="0.4">
      <c r="B5" s="137">
        <v>2</v>
      </c>
      <c r="C5" s="138" t="s">
        <v>514</v>
      </c>
      <c r="D5" s="139">
        <f>+D6+D7</f>
        <v>6336.6</v>
      </c>
      <c r="E5" s="135"/>
      <c r="F5" s="280"/>
      <c r="G5" s="283"/>
    </row>
    <row r="6" spans="2:7" ht="15.5" thickTop="1" thickBot="1" x14ac:dyDescent="0.4">
      <c r="B6" s="131" t="s">
        <v>127</v>
      </c>
      <c r="C6" s="132" t="s">
        <v>513</v>
      </c>
      <c r="D6" s="133">
        <v>2763.1</v>
      </c>
      <c r="E6" s="135"/>
      <c r="F6" s="284" t="s">
        <v>452</v>
      </c>
      <c r="G6" s="286">
        <f>SUM(G3:G5)</f>
        <v>32743.97</v>
      </c>
    </row>
    <row r="7" spans="2:7" ht="15" thickBot="1" x14ac:dyDescent="0.4">
      <c r="B7" s="131" t="s">
        <v>129</v>
      </c>
      <c r="C7" s="132" t="s">
        <v>515</v>
      </c>
      <c r="D7" s="133">
        <v>3573.5</v>
      </c>
      <c r="E7" s="135"/>
      <c r="F7" s="288"/>
      <c r="G7" s="288"/>
    </row>
    <row r="8" spans="2:7" ht="14.5" x14ac:dyDescent="0.35">
      <c r="B8" s="137">
        <v>4</v>
      </c>
      <c r="C8" s="138" t="s">
        <v>140</v>
      </c>
      <c r="D8" s="139">
        <f>+D9</f>
        <v>2069.9699999999998</v>
      </c>
      <c r="F8" s="289" t="s">
        <v>454</v>
      </c>
      <c r="G8" s="291" t="s">
        <v>512</v>
      </c>
    </row>
    <row r="9" spans="2:7" ht="14.5" x14ac:dyDescent="0.35">
      <c r="B9" s="131" t="s">
        <v>141</v>
      </c>
      <c r="C9" s="132" t="s">
        <v>516</v>
      </c>
      <c r="D9" s="133">
        <v>2069.9699999999998</v>
      </c>
      <c r="E9" s="135" t="s">
        <v>520</v>
      </c>
      <c r="F9" s="295" t="s">
        <v>27</v>
      </c>
      <c r="G9" s="298">
        <v>0</v>
      </c>
    </row>
    <row r="10" spans="2:7" ht="14.5" x14ac:dyDescent="0.35">
      <c r="B10" s="137">
        <v>5</v>
      </c>
      <c r="C10" s="138" t="s">
        <v>143</v>
      </c>
      <c r="D10" s="139">
        <f>+D11</f>
        <v>30211.87</v>
      </c>
      <c r="F10" s="295" t="s">
        <v>28</v>
      </c>
      <c r="G10" s="298">
        <v>0</v>
      </c>
    </row>
    <row r="11" spans="2:7" ht="15" thickBot="1" x14ac:dyDescent="0.4">
      <c r="B11" s="351" t="s">
        <v>148</v>
      </c>
      <c r="C11" s="352" t="s">
        <v>149</v>
      </c>
      <c r="D11" s="353">
        <v>30211.87</v>
      </c>
      <c r="E11" s="135" t="s">
        <v>518</v>
      </c>
      <c r="F11" s="295" t="s">
        <v>465</v>
      </c>
      <c r="G11" s="298">
        <v>0</v>
      </c>
    </row>
    <row r="12" spans="2:7" ht="15" thickBot="1" x14ac:dyDescent="0.4">
      <c r="B12" s="141"/>
      <c r="C12" s="142"/>
      <c r="D12" s="143"/>
      <c r="F12" s="295" t="s">
        <v>439</v>
      </c>
      <c r="G12" s="298">
        <v>0</v>
      </c>
    </row>
    <row r="13" spans="2:7" ht="15" thickBot="1" x14ac:dyDescent="0.4">
      <c r="B13" s="141"/>
      <c r="C13" s="144" t="s">
        <v>421</v>
      </c>
      <c r="D13" s="145">
        <f>+D10+D8+D5+D2</f>
        <v>60936.94</v>
      </c>
      <c r="E13" s="146"/>
      <c r="F13" s="295" t="s">
        <v>601</v>
      </c>
      <c r="G13" s="298">
        <f>-D25</f>
        <v>-80</v>
      </c>
    </row>
    <row r="14" spans="2:7" ht="15" thickBot="1" x14ac:dyDescent="0.35">
      <c r="F14" s="295" t="s">
        <v>19</v>
      </c>
      <c r="G14" s="298">
        <f>-D24</f>
        <v>-1200</v>
      </c>
    </row>
    <row r="15" spans="2:7" ht="15.5" x14ac:dyDescent="0.35">
      <c r="B15" s="99">
        <v>7</v>
      </c>
      <c r="C15" s="81" t="s">
        <v>155</v>
      </c>
      <c r="D15" s="82">
        <f>+D16</f>
        <v>2515.41</v>
      </c>
      <c r="E15"/>
      <c r="F15" s="295" t="s">
        <v>20</v>
      </c>
      <c r="G15" s="298">
        <f>-D26</f>
        <v>-214.60000000000002</v>
      </c>
    </row>
    <row r="16" spans="2:7" ht="14.5" x14ac:dyDescent="0.35">
      <c r="B16" s="100" t="s">
        <v>160</v>
      </c>
      <c r="C16" s="90" t="s">
        <v>161</v>
      </c>
      <c r="D16" s="85">
        <f>951.86+1143.62+419.93</f>
        <v>2515.41</v>
      </c>
      <c r="E16" s="135" t="s">
        <v>522</v>
      </c>
      <c r="F16" s="295" t="s">
        <v>22</v>
      </c>
      <c r="G16" s="298">
        <f>-D28</f>
        <v>-2.54</v>
      </c>
    </row>
    <row r="17" spans="2:7" ht="14.5" x14ac:dyDescent="0.35">
      <c r="B17" s="101">
        <v>8</v>
      </c>
      <c r="C17" s="88" t="s">
        <v>185</v>
      </c>
      <c r="D17" s="89">
        <f>+D18+D19</f>
        <v>2099.73</v>
      </c>
      <c r="F17" s="295" t="s">
        <v>32</v>
      </c>
      <c r="G17" s="298">
        <f>-D17</f>
        <v>-2099.73</v>
      </c>
    </row>
    <row r="18" spans="2:7" ht="14.5" x14ac:dyDescent="0.35">
      <c r="B18" s="100" t="s">
        <v>226</v>
      </c>
      <c r="C18" s="90" t="s">
        <v>227</v>
      </c>
      <c r="D18" s="85">
        <f>800.79+504.27+267.04+275+52.63</f>
        <v>1899.73</v>
      </c>
      <c r="E18" s="135" t="s">
        <v>524</v>
      </c>
      <c r="F18" s="295" t="s">
        <v>44</v>
      </c>
      <c r="G18" s="298">
        <f>+D4</f>
        <v>-8355.5</v>
      </c>
    </row>
    <row r="19" spans="2:7" ht="14.5" x14ac:dyDescent="0.35">
      <c r="B19" s="100" t="s">
        <v>234</v>
      </c>
      <c r="C19" s="90" t="s">
        <v>235</v>
      </c>
      <c r="D19" s="85">
        <v>200</v>
      </c>
      <c r="E19" s="135" t="s">
        <v>531</v>
      </c>
      <c r="F19" s="295" t="s">
        <v>25</v>
      </c>
      <c r="G19" s="298">
        <v>0</v>
      </c>
    </row>
    <row r="20" spans="2:7" ht="14.5" x14ac:dyDescent="0.35">
      <c r="B20" s="87">
        <v>9</v>
      </c>
      <c r="C20" s="88" t="s">
        <v>242</v>
      </c>
      <c r="D20" s="89">
        <f>+D21+D22</f>
        <v>1357.45</v>
      </c>
      <c r="F20" s="295" t="s">
        <v>24</v>
      </c>
      <c r="G20" s="298">
        <f>-D15</f>
        <v>-2515.41</v>
      </c>
    </row>
    <row r="21" spans="2:7" ht="15" thickBot="1" x14ac:dyDescent="0.4">
      <c r="B21" s="100" t="s">
        <v>253</v>
      </c>
      <c r="C21" s="90" t="s">
        <v>254</v>
      </c>
      <c r="D21" s="85">
        <v>607.45000000000005</v>
      </c>
      <c r="E21" s="135" t="s">
        <v>525</v>
      </c>
      <c r="F21" s="301" t="s">
        <v>93</v>
      </c>
      <c r="G21" s="303">
        <f>-D20</f>
        <v>-1357.45</v>
      </c>
    </row>
    <row r="22" spans="2:7" ht="15.5" thickTop="1" thickBot="1" x14ac:dyDescent="0.4">
      <c r="B22" s="100" t="s">
        <v>255</v>
      </c>
      <c r="C22" s="90" t="s">
        <v>256</v>
      </c>
      <c r="D22" s="85">
        <v>750</v>
      </c>
      <c r="E22" s="135" t="s">
        <v>530</v>
      </c>
      <c r="F22" s="304" t="s">
        <v>453</v>
      </c>
      <c r="G22" s="306">
        <f>SUM(G9:G21)</f>
        <v>-15825.23</v>
      </c>
    </row>
    <row r="23" spans="2:7" ht="16" thickBot="1" x14ac:dyDescent="0.4">
      <c r="B23" s="101">
        <v>11</v>
      </c>
      <c r="C23" s="88" t="s">
        <v>288</v>
      </c>
      <c r="D23" s="89">
        <f>+D24+D25</f>
        <v>1280</v>
      </c>
      <c r="F23" s="263"/>
      <c r="G23" s="263"/>
    </row>
    <row r="24" spans="2:7" ht="15" thickBot="1" x14ac:dyDescent="0.4">
      <c r="B24" s="100" t="s">
        <v>294</v>
      </c>
      <c r="C24" s="90" t="s">
        <v>295</v>
      </c>
      <c r="D24" s="85">
        <f>600*2</f>
        <v>1200</v>
      </c>
      <c r="E24" s="135" t="s">
        <v>532</v>
      </c>
      <c r="F24" s="308" t="s">
        <v>471</v>
      </c>
      <c r="G24" s="310">
        <f>+G6+G22</f>
        <v>16918.740000000002</v>
      </c>
    </row>
    <row r="25" spans="2:7" ht="16" thickBot="1" x14ac:dyDescent="0.4">
      <c r="B25" s="100" t="s">
        <v>300</v>
      </c>
      <c r="C25" s="90" t="s">
        <v>301</v>
      </c>
      <c r="D25" s="85">
        <v>80</v>
      </c>
      <c r="E25" s="135" t="s">
        <v>523</v>
      </c>
      <c r="F25" s="263"/>
      <c r="G25" s="263"/>
    </row>
    <row r="26" spans="2:7" ht="14.5" x14ac:dyDescent="0.35">
      <c r="B26" s="101">
        <v>14</v>
      </c>
      <c r="C26" s="88" t="s">
        <v>314</v>
      </c>
      <c r="D26" s="89">
        <f>+D27</f>
        <v>214.60000000000002</v>
      </c>
      <c r="F26" s="311" t="s">
        <v>455</v>
      </c>
      <c r="G26" s="313" t="s">
        <v>512</v>
      </c>
    </row>
    <row r="27" spans="2:7" ht="14.5" x14ac:dyDescent="0.35">
      <c r="B27" s="100" t="s">
        <v>319</v>
      </c>
      <c r="C27" s="102" t="s">
        <v>20</v>
      </c>
      <c r="D27" s="85">
        <v>214.60000000000002</v>
      </c>
      <c r="E27" s="135" t="s">
        <v>527</v>
      </c>
      <c r="F27" s="315" t="s">
        <v>17</v>
      </c>
      <c r="G27" s="317">
        <f>+D10</f>
        <v>30211.87</v>
      </c>
    </row>
    <row r="28" spans="2:7" ht="14.5" x14ac:dyDescent="0.35">
      <c r="B28" s="101">
        <v>15</v>
      </c>
      <c r="C28" s="88" t="s">
        <v>320</v>
      </c>
      <c r="D28" s="89">
        <f>+D29</f>
        <v>2.54</v>
      </c>
      <c r="F28" s="315" t="s">
        <v>15</v>
      </c>
      <c r="G28" s="317">
        <v>0</v>
      </c>
    </row>
    <row r="29" spans="2:7" ht="15" thickBot="1" x14ac:dyDescent="0.4">
      <c r="B29" s="100" t="s">
        <v>321</v>
      </c>
      <c r="C29" s="90" t="s">
        <v>322</v>
      </c>
      <c r="D29" s="85">
        <v>2.54</v>
      </c>
      <c r="E29" s="135" t="s">
        <v>528</v>
      </c>
      <c r="F29" s="319"/>
      <c r="G29" s="321"/>
    </row>
    <row r="30" spans="2:7" ht="15.5" thickTop="1" thickBot="1" x14ac:dyDescent="0.4">
      <c r="B30" s="101">
        <v>16</v>
      </c>
      <c r="C30" s="88" t="s">
        <v>325</v>
      </c>
      <c r="D30" s="89">
        <f>+D31</f>
        <v>23046.400000000001</v>
      </c>
      <c r="F30" s="322" t="s">
        <v>457</v>
      </c>
      <c r="G30" s="324">
        <f t="shared" ref="G30" si="0">SUM(G26:G29)</f>
        <v>30211.87</v>
      </c>
    </row>
    <row r="31" spans="2:7" ht="15" thickBot="1" x14ac:dyDescent="0.4">
      <c r="B31" s="103" t="s">
        <v>326</v>
      </c>
      <c r="C31" s="102" t="s">
        <v>327</v>
      </c>
      <c r="D31" s="85">
        <f>4500+18000+546.4</f>
        <v>23046.400000000001</v>
      </c>
      <c r="E31" s="135" t="s">
        <v>529</v>
      </c>
      <c r="F31" s="288"/>
      <c r="G31" s="288"/>
    </row>
    <row r="32" spans="2:7" ht="14.5" x14ac:dyDescent="0.35">
      <c r="B32" s="101">
        <v>18</v>
      </c>
      <c r="C32" s="88" t="s">
        <v>361</v>
      </c>
      <c r="D32" s="89">
        <f>+D33+D34+D35</f>
        <v>8011</v>
      </c>
      <c r="F32" s="326" t="s">
        <v>458</v>
      </c>
      <c r="G32" s="328" t="s">
        <v>512</v>
      </c>
    </row>
    <row r="33" spans="2:7" ht="14.5" x14ac:dyDescent="0.35">
      <c r="B33" s="100" t="s">
        <v>378</v>
      </c>
      <c r="C33" s="90" t="s">
        <v>379</v>
      </c>
      <c r="D33" s="85">
        <v>561</v>
      </c>
      <c r="E33" s="135" t="s">
        <v>534</v>
      </c>
      <c r="F33" s="330" t="s">
        <v>466</v>
      </c>
      <c r="G33" s="333">
        <v>0</v>
      </c>
    </row>
    <row r="34" spans="2:7" ht="14.5" x14ac:dyDescent="0.35">
      <c r="B34" s="100" t="s">
        <v>380</v>
      </c>
      <c r="C34" s="90" t="s">
        <v>381</v>
      </c>
      <c r="D34" s="85">
        <v>800</v>
      </c>
      <c r="E34" s="135" t="s">
        <v>533</v>
      </c>
      <c r="F34" s="330" t="s">
        <v>460</v>
      </c>
      <c r="G34" s="333">
        <v>0</v>
      </c>
    </row>
    <row r="35" spans="2:7" ht="15" thickBot="1" x14ac:dyDescent="0.4">
      <c r="B35" s="104" t="s">
        <v>384</v>
      </c>
      <c r="C35" s="105" t="s">
        <v>385</v>
      </c>
      <c r="D35" s="93">
        <v>6650</v>
      </c>
      <c r="E35" s="135" t="s">
        <v>526</v>
      </c>
      <c r="F35" s="330" t="s">
        <v>459</v>
      </c>
      <c r="G35" s="333">
        <v>0</v>
      </c>
    </row>
    <row r="36" spans="2:7" ht="15" thickBot="1" x14ac:dyDescent="0.4">
      <c r="B36" s="106"/>
      <c r="C36" s="95"/>
      <c r="D36" s="96"/>
      <c r="F36" s="330" t="s">
        <v>464</v>
      </c>
      <c r="G36" s="333">
        <f>+D5</f>
        <v>6336.6</v>
      </c>
    </row>
    <row r="37" spans="2:7" ht="15" thickBot="1" x14ac:dyDescent="0.4">
      <c r="B37" s="106"/>
      <c r="C37" s="107" t="s">
        <v>112</v>
      </c>
      <c r="D37" s="108">
        <f>+D32+D30+D28+D26+D23+D20+D17+D15</f>
        <v>38527.130000000005</v>
      </c>
      <c r="F37" s="335" t="s">
        <v>92</v>
      </c>
      <c r="G37" s="338">
        <v>0</v>
      </c>
    </row>
    <row r="38" spans="2:7" ht="15" thickBot="1" x14ac:dyDescent="0.35">
      <c r="B38" s="79"/>
      <c r="C38" s="79"/>
      <c r="D38" s="79"/>
      <c r="F38" s="335" t="s">
        <v>467</v>
      </c>
      <c r="G38" s="338">
        <f>-D32</f>
        <v>-8011</v>
      </c>
    </row>
    <row r="39" spans="2:7" ht="15" thickBot="1" x14ac:dyDescent="0.4">
      <c r="B39" s="79"/>
      <c r="C39" s="109" t="s">
        <v>521</v>
      </c>
      <c r="D39" s="110">
        <f>+D13-D37</f>
        <v>22409.809999999998</v>
      </c>
      <c r="F39" s="330" t="s">
        <v>43</v>
      </c>
      <c r="G39" s="333">
        <v>-546.4</v>
      </c>
    </row>
    <row r="40" spans="2:7" ht="14.5" x14ac:dyDescent="0.3">
      <c r="C40" s="135"/>
      <c r="F40" s="330" t="s">
        <v>462</v>
      </c>
      <c r="G40" s="333">
        <v>-4500</v>
      </c>
    </row>
    <row r="41" spans="2:7" ht="14.5" x14ac:dyDescent="0.3">
      <c r="F41" s="330" t="s">
        <v>461</v>
      </c>
      <c r="G41" s="333">
        <v>0</v>
      </c>
    </row>
    <row r="42" spans="2:7" ht="14.5" x14ac:dyDescent="0.3">
      <c r="F42" s="330" t="s">
        <v>463</v>
      </c>
      <c r="G42" s="333">
        <v>0</v>
      </c>
    </row>
    <row r="43" spans="2:7" ht="15" thickBot="1" x14ac:dyDescent="0.35">
      <c r="F43" s="339" t="s">
        <v>511</v>
      </c>
      <c r="G43" s="342">
        <v>-18000</v>
      </c>
    </row>
    <row r="44" spans="2:7" ht="15.5" thickTop="1" thickBot="1" x14ac:dyDescent="0.35">
      <c r="F44" s="343" t="s">
        <v>453</v>
      </c>
      <c r="G44" s="345">
        <f>SUM(G33:G43)</f>
        <v>-24720.799999999999</v>
      </c>
    </row>
    <row r="45" spans="2:7" ht="16" thickBot="1" x14ac:dyDescent="0.35">
      <c r="F45" s="263"/>
      <c r="G45" s="263"/>
    </row>
    <row r="46" spans="2:7" ht="15" thickBot="1" x14ac:dyDescent="0.35">
      <c r="F46" s="308" t="s">
        <v>472</v>
      </c>
      <c r="G46" s="347">
        <f>+G30+G44</f>
        <v>5491.07</v>
      </c>
    </row>
    <row r="47" spans="2:7" ht="13.5" thickBot="1" x14ac:dyDescent="0.35"/>
    <row r="48" spans="2:7" ht="15" thickBot="1" x14ac:dyDescent="0.35">
      <c r="F48" s="348" t="s">
        <v>473</v>
      </c>
      <c r="G48" s="350">
        <f>+G24+G46</f>
        <v>22409.81</v>
      </c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B6544-72ED-4351-A8EC-10AAD8D6AB34}">
  <sheetPr>
    <tabColor theme="5"/>
  </sheetPr>
  <dimension ref="B1:H48"/>
  <sheetViews>
    <sheetView workbookViewId="0">
      <selection activeCell="K18" sqref="K18"/>
    </sheetView>
  </sheetViews>
  <sheetFormatPr defaultRowHeight="15.5" x14ac:dyDescent="0.35"/>
  <cols>
    <col min="2" max="2" width="5" style="79" bestFit="1" customWidth="1"/>
    <col min="3" max="3" width="56.6640625" style="79" bestFit="1" customWidth="1"/>
    <col min="4" max="4" width="13.83203125" style="79" bestFit="1" customWidth="1"/>
    <col min="5" max="5" width="11.58203125" bestFit="1" customWidth="1"/>
    <col min="6" max="6" width="13.83203125" bestFit="1" customWidth="1"/>
    <col min="7" max="7" width="43.6640625" style="126" bestFit="1" customWidth="1"/>
    <col min="8" max="8" width="12.5" style="126" bestFit="1" customWidth="1"/>
  </cols>
  <sheetData>
    <row r="1" spans="2:8" ht="16" thickBot="1" x14ac:dyDescent="0.4">
      <c r="B1" s="78" t="s">
        <v>613</v>
      </c>
      <c r="E1" s="381" t="s">
        <v>418</v>
      </c>
    </row>
    <row r="2" spans="2:8" x14ac:dyDescent="0.35">
      <c r="B2" s="80">
        <v>1</v>
      </c>
      <c r="C2" s="81" t="s">
        <v>116</v>
      </c>
      <c r="D2" s="82">
        <f>SUM(D3:D6)</f>
        <v>47658.05</v>
      </c>
      <c r="E2" s="382"/>
      <c r="G2" s="268" t="s">
        <v>448</v>
      </c>
      <c r="H2" s="270" t="s">
        <v>613</v>
      </c>
    </row>
    <row r="3" spans="2:8" x14ac:dyDescent="0.35">
      <c r="B3" s="83" t="s">
        <v>117</v>
      </c>
      <c r="C3" s="84" t="s">
        <v>118</v>
      </c>
      <c r="D3" s="85">
        <f>9301+10511+10461</f>
        <v>30273</v>
      </c>
      <c r="E3" s="382" t="s">
        <v>696</v>
      </c>
      <c r="G3" s="275" t="s">
        <v>447</v>
      </c>
      <c r="H3" s="278">
        <f>+D3</f>
        <v>30273</v>
      </c>
    </row>
    <row r="4" spans="2:8" x14ac:dyDescent="0.35">
      <c r="B4" s="83" t="s">
        <v>119</v>
      </c>
      <c r="C4" s="86" t="s">
        <v>120</v>
      </c>
      <c r="D4" s="85">
        <f>-1863-261-333-4428-720-540</f>
        <v>-8145</v>
      </c>
      <c r="E4" s="382" t="s">
        <v>690</v>
      </c>
      <c r="G4" s="275" t="s">
        <v>456</v>
      </c>
      <c r="H4" s="278">
        <v>0</v>
      </c>
    </row>
    <row r="5" spans="2:8" ht="16" thickBot="1" x14ac:dyDescent="0.4">
      <c r="B5" s="83" t="s">
        <v>123</v>
      </c>
      <c r="C5" s="84" t="s">
        <v>15</v>
      </c>
      <c r="D5" s="85">
        <v>135</v>
      </c>
      <c r="E5" s="382" t="s">
        <v>703</v>
      </c>
      <c r="G5" s="280"/>
      <c r="H5" s="283"/>
    </row>
    <row r="6" spans="2:8" ht="16.5" thickTop="1" thickBot="1" x14ac:dyDescent="0.4">
      <c r="B6" s="83" t="s">
        <v>124</v>
      </c>
      <c r="C6" s="84" t="s">
        <v>125</v>
      </c>
      <c r="D6" s="85">
        <f>510.5+2320.39+2498.4+4218.88+4219+1200+4218.88+600+3884+1200+525</f>
        <v>25395.05</v>
      </c>
      <c r="E6" s="382" t="s">
        <v>702</v>
      </c>
      <c r="G6" s="284" t="s">
        <v>452</v>
      </c>
      <c r="H6" s="286">
        <f>SUM(H3:H5)</f>
        <v>30273</v>
      </c>
    </row>
    <row r="7" spans="2:8" ht="16" thickBot="1" x14ac:dyDescent="0.4">
      <c r="B7" s="87">
        <v>5</v>
      </c>
      <c r="C7" s="88" t="s">
        <v>143</v>
      </c>
      <c r="D7" s="89">
        <f>SUM(D8:D8)</f>
        <v>606</v>
      </c>
      <c r="E7" s="382"/>
      <c r="G7" s="288"/>
      <c r="H7" s="288"/>
    </row>
    <row r="8" spans="2:8" x14ac:dyDescent="0.35">
      <c r="B8" s="83" t="s">
        <v>148</v>
      </c>
      <c r="C8" s="90" t="s">
        <v>149</v>
      </c>
      <c r="D8" s="85">
        <v>606</v>
      </c>
      <c r="E8" s="382" t="s">
        <v>691</v>
      </c>
      <c r="G8" s="289" t="s">
        <v>454</v>
      </c>
      <c r="H8" s="291" t="s">
        <v>613</v>
      </c>
    </row>
    <row r="9" spans="2:8" ht="16" thickBot="1" x14ac:dyDescent="0.4">
      <c r="B9" s="94"/>
      <c r="C9" s="95"/>
      <c r="D9" s="96"/>
      <c r="E9" s="382"/>
      <c r="G9" s="295" t="s">
        <v>27</v>
      </c>
      <c r="H9" s="298">
        <v>0</v>
      </c>
    </row>
    <row r="10" spans="2:8" ht="16" thickBot="1" x14ac:dyDescent="0.4">
      <c r="B10" s="94"/>
      <c r="C10" s="97" t="s">
        <v>113</v>
      </c>
      <c r="D10" s="98">
        <f>+D7+D2</f>
        <v>48264.05</v>
      </c>
      <c r="E10" s="382"/>
      <c r="G10" s="295" t="s">
        <v>28</v>
      </c>
      <c r="H10" s="298">
        <v>0</v>
      </c>
    </row>
    <row r="11" spans="2:8" ht="16" thickBot="1" x14ac:dyDescent="0.4">
      <c r="E11" s="382"/>
      <c r="G11" s="295" t="s">
        <v>465</v>
      </c>
      <c r="H11" s="298">
        <v>0</v>
      </c>
    </row>
    <row r="12" spans="2:8" x14ac:dyDescent="0.35">
      <c r="B12" s="99">
        <v>7</v>
      </c>
      <c r="C12" s="81" t="s">
        <v>155</v>
      </c>
      <c r="D12" s="82">
        <f>SUM(D13:D15)</f>
        <v>7742.4000000000005</v>
      </c>
      <c r="E12" s="382"/>
      <c r="G12" s="295" t="s">
        <v>439</v>
      </c>
      <c r="H12" s="298">
        <f>-D27</f>
        <v>-1046.95</v>
      </c>
    </row>
    <row r="13" spans="2:8" x14ac:dyDescent="0.35">
      <c r="B13" s="100" t="s">
        <v>160</v>
      </c>
      <c r="C13" s="90" t="s">
        <v>161</v>
      </c>
      <c r="D13" s="85">
        <f>194.95+160+84.93</f>
        <v>439.88</v>
      </c>
      <c r="E13" s="382" t="s">
        <v>699</v>
      </c>
      <c r="G13" s="295" t="s">
        <v>601</v>
      </c>
      <c r="H13" s="298">
        <f>-D25-D32</f>
        <v>-2690</v>
      </c>
    </row>
    <row r="14" spans="2:8" x14ac:dyDescent="0.35">
      <c r="B14" s="100" t="s">
        <v>162</v>
      </c>
      <c r="C14" s="90" t="s">
        <v>163</v>
      </c>
      <c r="D14" s="85">
        <v>450</v>
      </c>
      <c r="E14" s="382" t="s">
        <v>699</v>
      </c>
      <c r="G14" s="295" t="s">
        <v>19</v>
      </c>
      <c r="H14" s="298">
        <f>-D24</f>
        <v>-2400</v>
      </c>
    </row>
    <row r="15" spans="2:8" x14ac:dyDescent="0.35">
      <c r="B15" s="100" t="s">
        <v>172</v>
      </c>
      <c r="C15" s="90" t="s">
        <v>173</v>
      </c>
      <c r="D15" s="85">
        <f>517.27+543.92+498.1+861.95+993.44+1430.08+738.83+738.83+530.1</f>
        <v>6852.52</v>
      </c>
      <c r="E15" s="382" t="s">
        <v>700</v>
      </c>
      <c r="G15" s="295" t="s">
        <v>20</v>
      </c>
      <c r="H15" s="298">
        <v>0</v>
      </c>
    </row>
    <row r="16" spans="2:8" x14ac:dyDescent="0.35">
      <c r="B16" s="101">
        <v>8</v>
      </c>
      <c r="C16" s="88" t="s">
        <v>185</v>
      </c>
      <c r="D16" s="89">
        <f>SUM(D17:D20)</f>
        <v>40182.269999999997</v>
      </c>
      <c r="E16" s="382"/>
      <c r="G16" s="295" t="s">
        <v>22</v>
      </c>
      <c r="H16" s="298">
        <f>-D29-D30</f>
        <v>-65.099999999999994</v>
      </c>
    </row>
    <row r="17" spans="2:8" x14ac:dyDescent="0.35">
      <c r="B17" s="100" t="s">
        <v>218</v>
      </c>
      <c r="C17" s="90" t="s">
        <v>219</v>
      </c>
      <c r="D17" s="85">
        <v>2659.47</v>
      </c>
      <c r="E17" s="382" t="s">
        <v>692</v>
      </c>
      <c r="G17" s="295" t="s">
        <v>32</v>
      </c>
      <c r="H17" s="298">
        <v>0</v>
      </c>
    </row>
    <row r="18" spans="2:8" x14ac:dyDescent="0.35">
      <c r="B18" s="100" t="s">
        <v>220</v>
      </c>
      <c r="C18" s="90" t="s">
        <v>221</v>
      </c>
      <c r="D18" s="85">
        <v>27933.599999999999</v>
      </c>
      <c r="E18" s="382" t="s">
        <v>693</v>
      </c>
      <c r="G18" s="295" t="s">
        <v>44</v>
      </c>
      <c r="H18" s="298">
        <f>+D4</f>
        <v>-8145</v>
      </c>
    </row>
    <row r="19" spans="2:8" x14ac:dyDescent="0.35">
      <c r="B19" s="100" t="s">
        <v>222</v>
      </c>
      <c r="C19" s="90" t="s">
        <v>223</v>
      </c>
      <c r="D19" s="85">
        <v>4589.2</v>
      </c>
      <c r="E19" s="382" t="s">
        <v>705</v>
      </c>
      <c r="G19" s="295" t="s">
        <v>25</v>
      </c>
      <c r="H19" s="298">
        <f>-D15</f>
        <v>-6852.52</v>
      </c>
    </row>
    <row r="20" spans="2:8" x14ac:dyDescent="0.35">
      <c r="B20" s="100" t="s">
        <v>224</v>
      </c>
      <c r="C20" s="90" t="s">
        <v>225</v>
      </c>
      <c r="D20" s="85">
        <v>5000</v>
      </c>
      <c r="E20" s="382" t="s">
        <v>701</v>
      </c>
      <c r="G20" s="295" t="s">
        <v>24</v>
      </c>
      <c r="H20" s="298">
        <f>-D13-D14</f>
        <v>-889.88</v>
      </c>
    </row>
    <row r="21" spans="2:8" ht="16" thickBot="1" x14ac:dyDescent="0.4">
      <c r="B21" s="87">
        <v>9</v>
      </c>
      <c r="C21" s="88" t="s">
        <v>242</v>
      </c>
      <c r="D21" s="89">
        <f>SUM(D22:D22)</f>
        <v>360</v>
      </c>
      <c r="E21" s="382"/>
      <c r="G21" s="301" t="s">
        <v>93</v>
      </c>
      <c r="H21" s="303">
        <f>-D22</f>
        <v>-360</v>
      </c>
    </row>
    <row r="22" spans="2:8" ht="16.5" thickTop="1" thickBot="1" x14ac:dyDescent="0.4">
      <c r="B22" s="100" t="s">
        <v>255</v>
      </c>
      <c r="C22" s="90" t="s">
        <v>256</v>
      </c>
      <c r="D22" s="85">
        <v>360</v>
      </c>
      <c r="E22" s="382" t="s">
        <v>695</v>
      </c>
      <c r="G22" s="304" t="s">
        <v>453</v>
      </c>
      <c r="H22" s="306">
        <f>SUM(H9:H21)</f>
        <v>-22449.45</v>
      </c>
    </row>
    <row r="23" spans="2:8" ht="16" thickBot="1" x14ac:dyDescent="0.4">
      <c r="B23" s="101">
        <v>11</v>
      </c>
      <c r="C23" s="88" t="s">
        <v>288</v>
      </c>
      <c r="D23" s="89">
        <f>SUM(D24:D25)</f>
        <v>4900</v>
      </c>
      <c r="E23" s="382"/>
      <c r="G23" s="263"/>
      <c r="H23" s="263"/>
    </row>
    <row r="24" spans="2:8" ht="16" thickBot="1" x14ac:dyDescent="0.4">
      <c r="B24" s="100" t="s">
        <v>294</v>
      </c>
      <c r="C24" s="90" t="s">
        <v>295</v>
      </c>
      <c r="D24" s="85">
        <f>600+600+600+600</f>
        <v>2400</v>
      </c>
      <c r="E24" s="382" t="s">
        <v>707</v>
      </c>
      <c r="G24" s="308" t="s">
        <v>471</v>
      </c>
      <c r="H24" s="310">
        <f>+H6+H22</f>
        <v>7823.5499999999993</v>
      </c>
    </row>
    <row r="25" spans="2:8" ht="16" thickBot="1" x14ac:dyDescent="0.4">
      <c r="B25" s="100" t="s">
        <v>300</v>
      </c>
      <c r="C25" s="90" t="s">
        <v>301</v>
      </c>
      <c r="D25" s="85">
        <f>1250+1250</f>
        <v>2500</v>
      </c>
      <c r="E25" s="382" t="s">
        <v>697</v>
      </c>
      <c r="G25" s="263"/>
      <c r="H25" s="263"/>
    </row>
    <row r="26" spans="2:8" x14ac:dyDescent="0.35">
      <c r="B26" s="101">
        <v>12</v>
      </c>
      <c r="C26" s="88" t="s">
        <v>302</v>
      </c>
      <c r="D26" s="89">
        <f>SUM(D27:D27)</f>
        <v>1046.95</v>
      </c>
      <c r="E26" s="382"/>
      <c r="G26" s="311" t="s">
        <v>455</v>
      </c>
      <c r="H26" s="313" t="s">
        <v>613</v>
      </c>
    </row>
    <row r="27" spans="2:8" x14ac:dyDescent="0.35">
      <c r="B27" s="100" t="s">
        <v>306</v>
      </c>
      <c r="C27" s="102" t="s">
        <v>307</v>
      </c>
      <c r="D27" s="85">
        <f>215+831.95</f>
        <v>1046.95</v>
      </c>
      <c r="E27" s="382" t="s">
        <v>694</v>
      </c>
      <c r="G27" s="315" t="s">
        <v>17</v>
      </c>
      <c r="H27" s="317">
        <f>+D8</f>
        <v>606</v>
      </c>
    </row>
    <row r="28" spans="2:8" x14ac:dyDescent="0.35">
      <c r="B28" s="101">
        <v>14</v>
      </c>
      <c r="C28" s="88" t="s">
        <v>314</v>
      </c>
      <c r="D28" s="89">
        <f>SUM(D29:D30)</f>
        <v>65.099999999999994</v>
      </c>
      <c r="E28" s="382"/>
      <c r="G28" s="315" t="s">
        <v>15</v>
      </c>
      <c r="H28" s="317">
        <f>+D5</f>
        <v>135</v>
      </c>
    </row>
    <row r="29" spans="2:8" ht="16" thickBot="1" x14ac:dyDescent="0.4">
      <c r="B29" s="100" t="s">
        <v>317</v>
      </c>
      <c r="C29" s="102" t="s">
        <v>318</v>
      </c>
      <c r="D29" s="85">
        <v>12</v>
      </c>
      <c r="E29" s="382" t="s">
        <v>708</v>
      </c>
      <c r="G29" s="319"/>
      <c r="H29" s="321"/>
    </row>
    <row r="30" spans="2:8" ht="16.5" thickTop="1" thickBot="1" x14ac:dyDescent="0.4">
      <c r="B30" s="100" t="s">
        <v>319</v>
      </c>
      <c r="C30" s="102" t="s">
        <v>20</v>
      </c>
      <c r="D30" s="85">
        <v>53.1</v>
      </c>
      <c r="E30" s="382" t="s">
        <v>698</v>
      </c>
      <c r="G30" s="322" t="s">
        <v>457</v>
      </c>
      <c r="H30" s="324">
        <f t="shared" ref="H30" si="0">SUM(H26:H29)</f>
        <v>741</v>
      </c>
    </row>
    <row r="31" spans="2:8" ht="16" thickBot="1" x14ac:dyDescent="0.4">
      <c r="B31" s="101">
        <v>16</v>
      </c>
      <c r="C31" s="88" t="s">
        <v>325</v>
      </c>
      <c r="D31" s="89">
        <f>SUM(D32)</f>
        <v>190</v>
      </c>
      <c r="E31" s="382"/>
      <c r="G31" s="288"/>
      <c r="H31" s="288"/>
    </row>
    <row r="32" spans="2:8" x14ac:dyDescent="0.35">
      <c r="B32" s="103" t="s">
        <v>326</v>
      </c>
      <c r="C32" s="102" t="s">
        <v>327</v>
      </c>
      <c r="D32" s="85">
        <v>190</v>
      </c>
      <c r="E32" s="382" t="s">
        <v>689</v>
      </c>
      <c r="G32" s="326" t="s">
        <v>458</v>
      </c>
      <c r="H32" s="328" t="s">
        <v>613</v>
      </c>
    </row>
    <row r="33" spans="2:8" x14ac:dyDescent="0.35">
      <c r="B33" s="101">
        <v>17</v>
      </c>
      <c r="C33" s="88" t="s">
        <v>328</v>
      </c>
      <c r="D33" s="89">
        <f>SUM(D34:D35)</f>
        <v>2498</v>
      </c>
      <c r="E33" s="382"/>
      <c r="G33" s="330" t="s">
        <v>466</v>
      </c>
      <c r="H33" s="333">
        <v>0</v>
      </c>
    </row>
    <row r="34" spans="2:8" x14ac:dyDescent="0.35">
      <c r="B34" s="100" t="s">
        <v>345</v>
      </c>
      <c r="C34" s="90" t="s">
        <v>346</v>
      </c>
      <c r="D34" s="85">
        <v>1998</v>
      </c>
      <c r="E34" s="382" t="s">
        <v>704</v>
      </c>
      <c r="G34" s="330" t="s">
        <v>460</v>
      </c>
      <c r="H34" s="333">
        <f>-D17</f>
        <v>-2659.47</v>
      </c>
    </row>
    <row r="35" spans="2:8" x14ac:dyDescent="0.35">
      <c r="B35" s="100" t="s">
        <v>347</v>
      </c>
      <c r="C35" s="90" t="s">
        <v>348</v>
      </c>
      <c r="D35" s="85">
        <v>500</v>
      </c>
      <c r="E35" s="382" t="s">
        <v>706</v>
      </c>
      <c r="G35" s="330" t="s">
        <v>459</v>
      </c>
      <c r="H35" s="333">
        <v>0</v>
      </c>
    </row>
    <row r="36" spans="2:8" ht="16" thickBot="1" x14ac:dyDescent="0.4">
      <c r="B36" s="106"/>
      <c r="C36" s="95"/>
      <c r="D36" s="96"/>
      <c r="E36" s="382"/>
      <c r="G36" s="330" t="s">
        <v>464</v>
      </c>
      <c r="H36" s="333">
        <f>-D18-D19-D20+D6</f>
        <v>-12127.750000000004</v>
      </c>
    </row>
    <row r="37" spans="2:8" ht="16" thickBot="1" x14ac:dyDescent="0.4">
      <c r="B37" s="106"/>
      <c r="C37" s="107" t="s">
        <v>112</v>
      </c>
      <c r="D37" s="108">
        <f>D33+D31+D28+D26+D23+D21+D16+D12</f>
        <v>56984.719999999994</v>
      </c>
      <c r="E37" s="382"/>
      <c r="G37" s="335" t="s">
        <v>92</v>
      </c>
      <c r="H37" s="338">
        <v>0</v>
      </c>
    </row>
    <row r="38" spans="2:8" ht="16" thickBot="1" x14ac:dyDescent="0.4">
      <c r="E38" s="382"/>
      <c r="G38" s="335" t="s">
        <v>467</v>
      </c>
      <c r="H38" s="338">
        <f>-D34-D35</f>
        <v>-2498</v>
      </c>
    </row>
    <row r="39" spans="2:8" ht="16" thickBot="1" x14ac:dyDescent="0.4">
      <c r="C39" s="109" t="s">
        <v>612</v>
      </c>
      <c r="D39" s="110">
        <f>+D10-D37</f>
        <v>-8720.669999999991</v>
      </c>
      <c r="E39" s="382"/>
      <c r="G39" s="330" t="s">
        <v>43</v>
      </c>
      <c r="H39" s="333">
        <v>0</v>
      </c>
    </row>
    <row r="40" spans="2:8" x14ac:dyDescent="0.35">
      <c r="G40" s="330" t="s">
        <v>462</v>
      </c>
      <c r="H40" s="333">
        <v>0</v>
      </c>
    </row>
    <row r="41" spans="2:8" x14ac:dyDescent="0.35">
      <c r="C41" s="79" t="s">
        <v>709</v>
      </c>
      <c r="D41" s="117">
        <f>207572.52+D39</f>
        <v>198851.85</v>
      </c>
      <c r="G41" s="330" t="s">
        <v>461</v>
      </c>
      <c r="H41" s="333">
        <v>0</v>
      </c>
    </row>
    <row r="42" spans="2:8" x14ac:dyDescent="0.35">
      <c r="G42" s="330" t="s">
        <v>463</v>
      </c>
      <c r="H42" s="333">
        <v>0</v>
      </c>
    </row>
    <row r="43" spans="2:8" ht="16" thickBot="1" x14ac:dyDescent="0.4">
      <c r="G43" s="339" t="s">
        <v>511</v>
      </c>
      <c r="H43" s="342">
        <v>0</v>
      </c>
    </row>
    <row r="44" spans="2:8" ht="16.5" thickTop="1" thickBot="1" x14ac:dyDescent="0.4">
      <c r="G44" s="343" t="s">
        <v>453</v>
      </c>
      <c r="H44" s="345">
        <f>SUM(H33:H43)</f>
        <v>-17285.22</v>
      </c>
    </row>
    <row r="45" spans="2:8" ht="16" thickBot="1" x14ac:dyDescent="0.4">
      <c r="G45" s="263"/>
      <c r="H45" s="263"/>
    </row>
    <row r="46" spans="2:8" ht="16" thickBot="1" x14ac:dyDescent="0.4">
      <c r="G46" s="308" t="s">
        <v>472</v>
      </c>
      <c r="H46" s="347">
        <f>+H30+H44</f>
        <v>-16544.22</v>
      </c>
    </row>
    <row r="47" spans="2:8" ht="16" thickBot="1" x14ac:dyDescent="0.4"/>
    <row r="48" spans="2:8" ht="16" thickBot="1" x14ac:dyDescent="0.4">
      <c r="G48" s="348" t="s">
        <v>473</v>
      </c>
      <c r="H48" s="350">
        <f>+H24+H46</f>
        <v>-8720.6700000000019</v>
      </c>
    </row>
  </sheetData>
  <pageMargins left="0.511811024" right="0.511811024" top="0.78740157499999996" bottom="0.78740157499999996" header="0.31496062000000002" footer="0.31496062000000002"/>
  <ignoredErrors>
    <ignoredError sqref="D12 D2 D16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Orçado x Realizado</vt:lpstr>
      <vt:lpstr>Receitas</vt:lpstr>
      <vt:lpstr>Despesas</vt:lpstr>
      <vt:lpstr>Comunidades 2022</vt:lpstr>
      <vt:lpstr>TRI1</vt:lpstr>
      <vt:lpstr>TRI2</vt:lpstr>
      <vt:lpstr>Orçamento Aprovado</vt:lpstr>
      <vt:lpstr>TRI3</vt:lpstr>
      <vt:lpstr>TRI4</vt:lpstr>
      <vt:lpstr>Acompanhamento</vt:lpstr>
      <vt:lpstr>TRI5</vt:lpstr>
      <vt:lpstr>TRI6</vt:lpstr>
      <vt:lpstr>TRI7</vt:lpstr>
      <vt:lpstr>TRI8</vt:lpstr>
      <vt:lpstr>Magis VI</vt:lpstr>
      <vt:lpstr>Orçamento 2022-2 + 2023 (A)</vt:lpstr>
      <vt:lpstr>Orçamento 2022-2 + 2023 (B)</vt:lpstr>
      <vt:lpstr>Listas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Riva Finatti</dc:creator>
  <cp:lastModifiedBy>Rafael Riva Finatti</cp:lastModifiedBy>
  <dcterms:created xsi:type="dcterms:W3CDTF">2022-04-08T15:08:21Z</dcterms:created>
  <dcterms:modified xsi:type="dcterms:W3CDTF">2023-03-22T01:33:41Z</dcterms:modified>
</cp:coreProperties>
</file>