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finatti\Downloads\"/>
    </mc:Choice>
  </mc:AlternateContent>
  <xr:revisionPtr revIDLastSave="0" documentId="13_ncr:1_{169C7F20-3745-41F9-ACF9-91C8F9AF21A9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Orçado x Realizado" sheetId="2" state="hidden" r:id="rId1"/>
    <sheet name="Orçamento 2022-2 + 2023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0" l="1"/>
  <c r="H3" i="10"/>
  <c r="H6" i="10" s="1"/>
  <c r="H5" i="10"/>
  <c r="G6" i="10"/>
  <c r="H41" i="10"/>
  <c r="H42" i="10" s="1"/>
  <c r="H34" i="10"/>
  <c r="H33" i="10"/>
  <c r="F44" i="10"/>
  <c r="H39" i="10"/>
  <c r="H43" i="10" s="1"/>
  <c r="H37" i="10"/>
  <c r="G44" i="10"/>
  <c r="H28" i="10"/>
  <c r="G30" i="10"/>
  <c r="F30" i="10"/>
  <c r="F46" i="10" s="1"/>
  <c r="G22" i="10"/>
  <c r="H21" i="10"/>
  <c r="H20" i="10"/>
  <c r="H19" i="10"/>
  <c r="H18" i="10"/>
  <c r="H17" i="10"/>
  <c r="H14" i="10"/>
  <c r="H13" i="10"/>
  <c r="F22" i="10"/>
  <c r="H10" i="10"/>
  <c r="H9" i="10"/>
  <c r="G24" i="10" l="1"/>
  <c r="I5" i="10"/>
  <c r="G46" i="10"/>
  <c r="G48" i="10" s="1"/>
  <c r="H12" i="10"/>
  <c r="H44" i="10"/>
  <c r="F24" i="10"/>
  <c r="F48" i="10" s="1"/>
  <c r="H27" i="10"/>
  <c r="H30" i="10" s="1"/>
  <c r="J26" i="2"/>
  <c r="L10" i="2"/>
  <c r="L38" i="2"/>
  <c r="L30" i="2"/>
  <c r="L43" i="2"/>
  <c r="L48" i="2"/>
  <c r="M20" i="2"/>
  <c r="E88" i="2"/>
  <c r="E93" i="2"/>
  <c r="J20" i="2"/>
  <c r="J28" i="2"/>
  <c r="I12" i="10" l="1"/>
  <c r="H22" i="10"/>
  <c r="I39" i="10"/>
  <c r="I40" i="10"/>
  <c r="I44" i="10"/>
  <c r="I22" i="10"/>
  <c r="I41" i="10"/>
  <c r="I34" i="10"/>
  <c r="I42" i="10"/>
  <c r="I35" i="10"/>
  <c r="I43" i="10"/>
  <c r="I33" i="10"/>
  <c r="I36" i="10"/>
  <c r="I37" i="10"/>
  <c r="I38" i="10"/>
  <c r="I29" i="10"/>
  <c r="I28" i="10"/>
  <c r="I30" i="10"/>
  <c r="I27" i="10"/>
  <c r="I4" i="10"/>
  <c r="I6" i="10"/>
  <c r="I3" i="10"/>
  <c r="H46" i="10"/>
  <c r="L50" i="2"/>
  <c r="K18" i="2"/>
  <c r="M18" i="2" s="1"/>
  <c r="K19" i="2"/>
  <c r="M19" i="2" s="1"/>
  <c r="K46" i="2"/>
  <c r="M46" i="2" s="1"/>
  <c r="K45" i="2"/>
  <c r="M45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21" i="2"/>
  <c r="M21" i="2" s="1"/>
  <c r="H48" i="10" l="1"/>
  <c r="I9" i="10"/>
  <c r="I21" i="10"/>
  <c r="I15" i="10"/>
  <c r="I16" i="10"/>
  <c r="I11" i="10"/>
  <c r="I13" i="10"/>
  <c r="I20" i="10"/>
  <c r="I14" i="10"/>
  <c r="I19" i="10"/>
  <c r="I17" i="10"/>
  <c r="I18" i="10"/>
  <c r="H24" i="10"/>
  <c r="I10" i="10"/>
  <c r="K41" i="2"/>
  <c r="K34" i="2"/>
  <c r="K40" i="2"/>
  <c r="K29" i="2"/>
  <c r="D88" i="2"/>
  <c r="E85" i="2"/>
  <c r="E84" i="2"/>
  <c r="E83" i="2"/>
  <c r="E82" i="2"/>
  <c r="E81" i="2"/>
  <c r="E80" i="2"/>
  <c r="E79" i="2"/>
  <c r="E78" i="2"/>
  <c r="E77" i="2"/>
  <c r="E76" i="2"/>
  <c r="E73" i="2"/>
  <c r="E72" i="2"/>
  <c r="E71" i="2"/>
  <c r="E70" i="2"/>
  <c r="E69" i="2"/>
  <c r="E68" i="2"/>
  <c r="E67" i="2"/>
  <c r="E66" i="2"/>
  <c r="E65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39" i="2"/>
  <c r="E40" i="2"/>
  <c r="E41" i="2"/>
  <c r="E38" i="2"/>
  <c r="E35" i="2"/>
  <c r="E34" i="2"/>
  <c r="E33" i="2"/>
  <c r="E32" i="2"/>
  <c r="E27" i="2"/>
  <c r="E28" i="2"/>
  <c r="E29" i="2"/>
  <c r="E26" i="2"/>
  <c r="E21" i="2"/>
  <c r="E22" i="2"/>
  <c r="E23" i="2"/>
  <c r="E20" i="2"/>
  <c r="E91" i="2"/>
  <c r="F93" i="2"/>
  <c r="D85" i="2"/>
  <c r="D84" i="2"/>
  <c r="D83" i="2"/>
  <c r="D82" i="2"/>
  <c r="D81" i="2"/>
  <c r="D80" i="2"/>
  <c r="D79" i="2"/>
  <c r="D78" i="2"/>
  <c r="D77" i="2"/>
  <c r="D76" i="2"/>
  <c r="D73" i="2"/>
  <c r="D72" i="2"/>
  <c r="D71" i="2"/>
  <c r="D70" i="2"/>
  <c r="D69" i="2"/>
  <c r="D68" i="2"/>
  <c r="D67" i="2"/>
  <c r="D66" i="2"/>
  <c r="D65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F62" i="2" s="1"/>
  <c r="D44" i="2"/>
  <c r="D41" i="2"/>
  <c r="D40" i="2"/>
  <c r="D39" i="2"/>
  <c r="D38" i="2"/>
  <c r="D33" i="2"/>
  <c r="D34" i="2"/>
  <c r="D35" i="2"/>
  <c r="D32" i="2"/>
  <c r="D27" i="2"/>
  <c r="D28" i="2"/>
  <c r="D29" i="2"/>
  <c r="D26" i="2"/>
  <c r="D21" i="2"/>
  <c r="D22" i="2"/>
  <c r="D23" i="2"/>
  <c r="D20" i="2"/>
  <c r="E94" i="2"/>
  <c r="F94" i="2" s="1"/>
  <c r="E92" i="2"/>
  <c r="F92" i="2" s="1"/>
  <c r="J48" i="2"/>
  <c r="J43" i="2"/>
  <c r="J38" i="2"/>
  <c r="D95" i="2"/>
  <c r="D97" i="2" s="1"/>
  <c r="M40" i="2" l="1"/>
  <c r="M34" i="2"/>
  <c r="M41" i="2"/>
  <c r="M29" i="2"/>
  <c r="F35" i="2"/>
  <c r="F61" i="2"/>
  <c r="K30" i="2"/>
  <c r="F53" i="2"/>
  <c r="F45" i="2"/>
  <c r="F82" i="2"/>
  <c r="J30" i="2"/>
  <c r="J50" i="2" s="1"/>
  <c r="F67" i="2"/>
  <c r="F59" i="2"/>
  <c r="F51" i="2"/>
  <c r="F81" i="2"/>
  <c r="F70" i="2"/>
  <c r="F34" i="2"/>
  <c r="F54" i="2"/>
  <c r="F58" i="2"/>
  <c r="F50" i="2"/>
  <c r="F47" i="2"/>
  <c r="F84" i="2"/>
  <c r="F72" i="2"/>
  <c r="F55" i="2"/>
  <c r="F46" i="2"/>
  <c r="F56" i="2"/>
  <c r="F69" i="2"/>
  <c r="F79" i="2"/>
  <c r="F48" i="2"/>
  <c r="F44" i="2"/>
  <c r="F80" i="2"/>
  <c r="F71" i="2"/>
  <c r="F83" i="2"/>
  <c r="F76" i="2"/>
  <c r="F57" i="2"/>
  <c r="F49" i="2"/>
  <c r="F33" i="2"/>
  <c r="K42" i="2" s="1"/>
  <c r="F85" i="2"/>
  <c r="F77" i="2"/>
  <c r="F78" i="2"/>
  <c r="F73" i="2"/>
  <c r="F66" i="2"/>
  <c r="F65" i="2"/>
  <c r="F68" i="2"/>
  <c r="F60" i="2"/>
  <c r="F52" i="2"/>
  <c r="F39" i="2"/>
  <c r="F40" i="2"/>
  <c r="F41" i="2"/>
  <c r="F27" i="2"/>
  <c r="K36" i="2" s="1"/>
  <c r="F29" i="2"/>
  <c r="F28" i="2"/>
  <c r="K37" i="2" s="1"/>
  <c r="F26" i="2"/>
  <c r="K35" i="2" s="1"/>
  <c r="F22" i="2"/>
  <c r="F21" i="2"/>
  <c r="F23" i="2"/>
  <c r="E86" i="2"/>
  <c r="G77" i="2" s="1"/>
  <c r="E95" i="2"/>
  <c r="E97" i="2" s="1"/>
  <c r="E63" i="2"/>
  <c r="G46" i="2" s="1"/>
  <c r="E74" i="2"/>
  <c r="G69" i="2" s="1"/>
  <c r="E36" i="2"/>
  <c r="G35" i="2" s="1"/>
  <c r="E42" i="2"/>
  <c r="G39" i="2" s="1"/>
  <c r="F91" i="2"/>
  <c r="F38" i="2"/>
  <c r="K47" i="2" s="1"/>
  <c r="F32" i="2"/>
  <c r="E30" i="2"/>
  <c r="E24" i="2"/>
  <c r="G21" i="2" s="1"/>
  <c r="F20" i="2"/>
  <c r="M35" i="2" l="1"/>
  <c r="M47" i="2"/>
  <c r="M36" i="2"/>
  <c r="M30" i="2"/>
  <c r="M42" i="2"/>
  <c r="M37" i="2"/>
  <c r="D16" i="2"/>
  <c r="K43" i="2"/>
  <c r="K48" i="2"/>
  <c r="G80" i="2"/>
  <c r="G76" i="2"/>
  <c r="G82" i="2"/>
  <c r="G85" i="2"/>
  <c r="G83" i="2"/>
  <c r="G78" i="2"/>
  <c r="G79" i="2"/>
  <c r="G32" i="2"/>
  <c r="G57" i="2"/>
  <c r="G58" i="2"/>
  <c r="G84" i="2"/>
  <c r="G59" i="2"/>
  <c r="G40" i="2"/>
  <c r="G41" i="2"/>
  <c r="G38" i="2"/>
  <c r="F95" i="2"/>
  <c r="G28" i="2"/>
  <c r="G29" i="2"/>
  <c r="G67" i="2"/>
  <c r="G68" i="2"/>
  <c r="G56" i="2"/>
  <c r="F86" i="2"/>
  <c r="G66" i="2"/>
  <c r="G45" i="2"/>
  <c r="G26" i="2"/>
  <c r="F74" i="2"/>
  <c r="F63" i="2"/>
  <c r="G47" i="2"/>
  <c r="G52" i="2"/>
  <c r="G61" i="2"/>
  <c r="G62" i="2"/>
  <c r="G55" i="2"/>
  <c r="F42" i="2"/>
  <c r="G71" i="2"/>
  <c r="G72" i="2"/>
  <c r="G73" i="2"/>
  <c r="G60" i="2"/>
  <c r="G34" i="2"/>
  <c r="G44" i="2"/>
  <c r="G81" i="2"/>
  <c r="F24" i="2"/>
  <c r="G48" i="2"/>
  <c r="G70" i="2"/>
  <c r="G65" i="2"/>
  <c r="G53" i="2"/>
  <c r="G54" i="2"/>
  <c r="G27" i="2"/>
  <c r="F36" i="2"/>
  <c r="G49" i="2"/>
  <c r="G50" i="2"/>
  <c r="G51" i="2"/>
  <c r="G33" i="2"/>
  <c r="G22" i="2"/>
  <c r="G20" i="2"/>
  <c r="G23" i="2"/>
  <c r="G88" i="2"/>
  <c r="F30" i="2"/>
  <c r="D15" i="2"/>
  <c r="M48" i="2" l="1"/>
  <c r="M43" i="2"/>
  <c r="K33" i="2"/>
  <c r="E15" i="2"/>
  <c r="G93" i="2"/>
  <c r="G91" i="2"/>
  <c r="G94" i="2"/>
  <c r="G92" i="2"/>
  <c r="G42" i="2"/>
  <c r="G63" i="2"/>
  <c r="G36" i="2"/>
  <c r="G74" i="2"/>
  <c r="G86" i="2"/>
  <c r="G24" i="2"/>
  <c r="G30" i="2"/>
  <c r="F97" i="2"/>
  <c r="M33" i="2" l="1"/>
  <c r="F15" i="2"/>
  <c r="K38" i="2"/>
  <c r="M38" i="2" l="1"/>
  <c r="K50" i="2"/>
  <c r="N20" i="2" l="1"/>
  <c r="N28" i="2"/>
  <c r="M50" i="2"/>
  <c r="N27" i="2"/>
  <c r="N46" i="2"/>
  <c r="N21" i="2"/>
  <c r="N45" i="2"/>
  <c r="N22" i="2"/>
  <c r="N18" i="2"/>
  <c r="N23" i="2"/>
  <c r="E16" i="2"/>
  <c r="N19" i="2"/>
  <c r="N24" i="2"/>
  <c r="N25" i="2"/>
  <c r="N26" i="2"/>
  <c r="N40" i="2"/>
  <c r="N34" i="2"/>
  <c r="N29" i="2"/>
  <c r="N41" i="2"/>
  <c r="N42" i="2"/>
  <c r="N35" i="2"/>
  <c r="N36" i="2"/>
  <c r="N47" i="2"/>
  <c r="N37" i="2"/>
  <c r="N30" i="2"/>
  <c r="N48" i="2"/>
  <c r="N43" i="2"/>
  <c r="N33" i="2"/>
  <c r="N38" i="2"/>
  <c r="F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tc={5D59DE1F-8919-4072-B8E1-DFF6C5731F42}</author>
  </authors>
  <commentList>
    <comment ref="H36" authorId="0" shapeId="0" xr:uid="{5D59DE1F-8919-4072-B8E1-DFF6C5731F4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sharedStrings.xml><?xml version="1.0" encoding="utf-8"?>
<sst xmlns="http://schemas.openxmlformats.org/spreadsheetml/2006/main" count="212" uniqueCount="178">
  <si>
    <t>Despesas</t>
  </si>
  <si>
    <t>Despesas Operacionais</t>
  </si>
  <si>
    <t>Orçado</t>
  </si>
  <si>
    <t>Realizado</t>
  </si>
  <si>
    <t>Receitas</t>
  </si>
  <si>
    <t>Receitas totais</t>
  </si>
  <si>
    <t>Despesas totais</t>
  </si>
  <si>
    <t>Regional Bahia</t>
  </si>
  <si>
    <t>Regional Brasília</t>
  </si>
  <si>
    <t>Regional Minas Gerais</t>
  </si>
  <si>
    <t>Regional Nordeste</t>
  </si>
  <si>
    <t>Regional Rio</t>
  </si>
  <si>
    <t>Regional São Paulo</t>
  </si>
  <si>
    <t>Regional Sul</t>
  </si>
  <si>
    <t>Outras receitas</t>
  </si>
  <si>
    <t>Doações</t>
  </si>
  <si>
    <t>Rendimentos de Aplicação Financeira</t>
  </si>
  <si>
    <t>Dia de Santo Inácio</t>
  </si>
  <si>
    <t>Venda de produtos</t>
  </si>
  <si>
    <t>Contabilidade</t>
  </si>
  <si>
    <t>Despesas bancárias</t>
  </si>
  <si>
    <t>Impostos e taxas</t>
  </si>
  <si>
    <t>Despesas Administrativas e Financeiras</t>
  </si>
  <si>
    <t>Reuniões Coordenação Executiva</t>
  </si>
  <si>
    <t>Reuniões Conselho Ampliado</t>
  </si>
  <si>
    <t>Anuidade CNLB</t>
  </si>
  <si>
    <t>Anuidade CVX Mundial</t>
  </si>
  <si>
    <t>Participações presenciais da CEN em eventos regionais</t>
  </si>
  <si>
    <t>Subsídios para a formação</t>
  </si>
  <si>
    <t>Encontro Global de Formação (ExCo)</t>
  </si>
  <si>
    <t>Magis VI (CENAL)</t>
  </si>
  <si>
    <t>Encontro Internacional das Famílias (CVX-E)</t>
  </si>
  <si>
    <t>Subsídios para a participação em retiros</t>
  </si>
  <si>
    <t>Apoio a participação em retiros de final de semana</t>
  </si>
  <si>
    <t>Apoio a participação em retiros de 8 dias</t>
  </si>
  <si>
    <t>Apoio a participação em retiros de 30 dias</t>
  </si>
  <si>
    <t>Subsídios para as obras da CVX</t>
  </si>
  <si>
    <t>Jornada Mundial das Juventudes (Companhia de Jesus)</t>
  </si>
  <si>
    <t>Acordo de cooperação com SJMR</t>
  </si>
  <si>
    <t>Repasse para as Instâncias Regionais</t>
  </si>
  <si>
    <t>Doação para obras da CVX Mundial</t>
  </si>
  <si>
    <t>Comunidade Nossa Senhora Aparecida</t>
  </si>
  <si>
    <t>Comunidade Santíssima Trindade</t>
  </si>
  <si>
    <t>Comunidade Vida e Esperança</t>
  </si>
  <si>
    <t>Comunidade Dom Luciano</t>
  </si>
  <si>
    <t>Comunidade Padre Iglesias</t>
  </si>
  <si>
    <t>Comunidade Santo Alberto Hurtado</t>
  </si>
  <si>
    <t>Comunidade São José</t>
  </si>
  <si>
    <t>Comunidade Maria</t>
  </si>
  <si>
    <t>Comunidade Santa Rafaela Maria</t>
  </si>
  <si>
    <t>Comunidade São Francisco Xavier</t>
  </si>
  <si>
    <t>Comunidade São Paulo Apóstolo</t>
  </si>
  <si>
    <t>Comunidade Fé e Vida</t>
  </si>
  <si>
    <t>Comunidade Profeta Peregrino</t>
  </si>
  <si>
    <t>Comunidade Santa Tereza Couderc</t>
  </si>
  <si>
    <t>Comunidade Santo Inácio de Loyola</t>
  </si>
  <si>
    <t>Comunidade Aprendizes do Coração de Jesus</t>
  </si>
  <si>
    <t>Comunidade Cristo Redentor</t>
  </si>
  <si>
    <t xml:space="preserve">Comunidade Dom Helder Camara </t>
  </si>
  <si>
    <t>Comunidade Fé e Vida São Francisco Xavier</t>
  </si>
  <si>
    <t>Comunidade Inácio Peregrino</t>
  </si>
  <si>
    <t>Comunidade Maria Arca da Aliança</t>
  </si>
  <si>
    <t>Comunidade Maria Mãe da Esperança</t>
  </si>
  <si>
    <t>Comunidade Maria Porta do Céu</t>
  </si>
  <si>
    <t>Comunidade Nossa Senhora da Luz</t>
  </si>
  <si>
    <t>Comunidade Nossa Senhora da Paz</t>
  </si>
  <si>
    <t>Comunidade Nossa Senhora de Fátima</t>
  </si>
  <si>
    <t>Comunidade Nossa Senhora de Nazaré</t>
  </si>
  <si>
    <t>Comunidade Peregrinos da Esperança</t>
  </si>
  <si>
    <t>Comunidade São Marcos</t>
  </si>
  <si>
    <t>Comunidade Shalom</t>
  </si>
  <si>
    <t>Comunidade Virgem Oferente</t>
  </si>
  <si>
    <t>Comunidade A Caminho</t>
  </si>
  <si>
    <t>Comunidade Cardoner</t>
  </si>
  <si>
    <t>Comunidade CVXavier</t>
  </si>
  <si>
    <t>Comunidade MCL</t>
  </si>
  <si>
    <t>Comunidade Nazaré</t>
  </si>
  <si>
    <t>Comunidade Peregrino</t>
  </si>
  <si>
    <t>Comunidade Santa Maria</t>
  </si>
  <si>
    <t>Comunidade Coração Imaculado de Maria</t>
  </si>
  <si>
    <t>Comunidade Esperança</t>
  </si>
  <si>
    <t>Comunidade Francisco</t>
  </si>
  <si>
    <t>Comunidade Nossa Senhora da Luz dos Pinhais</t>
  </si>
  <si>
    <t>Comunidade Nossa Senhora Medianeira</t>
  </si>
  <si>
    <t>Comunidade Nova Aliança</t>
  </si>
  <si>
    <t>Comunidade Santo André</t>
  </si>
  <si>
    <t>Comunidade Santo Estanislau Kostka</t>
  </si>
  <si>
    <t>Outras formações (CAP1, CAP2, etc)</t>
  </si>
  <si>
    <t>Representações institucionais (ex.: Assembleia CNLB)</t>
  </si>
  <si>
    <t>Financiamento de obras da CVX nas Regionais</t>
  </si>
  <si>
    <t>Fundo de Formação e Missão</t>
  </si>
  <si>
    <t>Comunidade Nossa Senhora da Estrada - SP</t>
  </si>
  <si>
    <t>Comunidade Nossa Senhora da Estrada - Sul</t>
  </si>
  <si>
    <t>Comunidade Nossa Senhora de Montserrat - SP</t>
  </si>
  <si>
    <t>Comunidade Amar e Servir - RJ</t>
  </si>
  <si>
    <t>Comunidade Amar e Servir - BA</t>
  </si>
  <si>
    <t>Comunidade São José de Anchieta - RJ</t>
  </si>
  <si>
    <t>Comunidade São José de Anchieta - Sul</t>
  </si>
  <si>
    <t>Comunidade Nossa Senhora de Montserrat - RJ</t>
  </si>
  <si>
    <t>Planilha atualizada em:</t>
  </si>
  <si>
    <t>Ver lançamentos</t>
  </si>
  <si>
    <t>TOTAL DESPESAS</t>
  </si>
  <si>
    <t>TOTAL RECEITAS</t>
  </si>
  <si>
    <t>Mensal</t>
  </si>
  <si>
    <t>Total contribuições comunidades</t>
  </si>
  <si>
    <t>Cartório e correios</t>
  </si>
  <si>
    <t>Planilha de acompanhamento orçamentário CVX no Brasil 2022</t>
  </si>
  <si>
    <t>Resultado</t>
  </si>
  <si>
    <t>Outras formações (CAP1, CAP2, EoF, etc)</t>
  </si>
  <si>
    <t>Assinaturas (StreamYard, Zoom, Publicações, Site...)</t>
  </si>
  <si>
    <t>Orçado 2022</t>
  </si>
  <si>
    <t>Real TRI1</t>
  </si>
  <si>
    <t>Real TRI2</t>
  </si>
  <si>
    <t>Saldo ordinário</t>
  </si>
  <si>
    <t>Total em caixa</t>
  </si>
  <si>
    <t xml:space="preserve">Saldo Cora em 30/6: </t>
  </si>
  <si>
    <t>Bradesco em 30/6:</t>
  </si>
  <si>
    <t>Contribuições comunidades</t>
  </si>
  <si>
    <t>Fontes Ordinárias</t>
  </si>
  <si>
    <t>Orçamento 2022</t>
  </si>
  <si>
    <t>Realizado 2022-1</t>
  </si>
  <si>
    <t>Orçamento 2022-2 + 2023</t>
  </si>
  <si>
    <t>Total Receitas Ordinárias</t>
  </si>
  <si>
    <t>Total Despesas Ordinárias</t>
  </si>
  <si>
    <t>Despesas Administrativas e Financeiras (Ordinárias)</t>
  </si>
  <si>
    <t>Fontes Extraordinárias</t>
  </si>
  <si>
    <t>Rendimentos Financeiros</t>
  </si>
  <si>
    <t>Total Receitas Extraordinárias</t>
  </si>
  <si>
    <t>Despesas Fundo de Formação, Espiritualidade e Missão</t>
  </si>
  <si>
    <t>Formações internacionais (Famílias, EGF, etc)</t>
  </si>
  <si>
    <t>Encontros internacionais (EoF, JMJ, Jovens AL, etc)</t>
  </si>
  <si>
    <t>Doações para obras da CVX Mundial</t>
  </si>
  <si>
    <t>Assistência emergencial</t>
  </si>
  <si>
    <t>Financiamento de obras da CVX nas regionais</t>
  </si>
  <si>
    <t>Magis VI (subsídios + organização etapa Brasil)</t>
  </si>
  <si>
    <t>Assembleia Mundial da CVX 2023 (Amiens, FRA)</t>
  </si>
  <si>
    <t>Encontro Nacional 2023 (Salvador, Bahia)</t>
  </si>
  <si>
    <t>Apoio a retiros (fim de semana, 8 dias, 30 dias...)</t>
  </si>
  <si>
    <t>Saldo aproximado do Fundo em 30/6</t>
  </si>
  <si>
    <t>Saldo em conta em 30/6</t>
  </si>
  <si>
    <t>Saldo ordinário projetado</t>
  </si>
  <si>
    <t>Saldo projetado do Fundo</t>
  </si>
  <si>
    <t>Saldo total estimado</t>
  </si>
  <si>
    <t>Realizado x3</t>
  </si>
  <si>
    <t xml:space="preserve">Saldo 30/6, menos o Fundo </t>
  </si>
  <si>
    <t>Considerando aumento de 10%</t>
  </si>
  <si>
    <t>Margem de segurança, mas devemos praticamente zerar as despesas migrando para a Cora</t>
  </si>
  <si>
    <t>Margem de segurança, considerando algum imposto a pagar na migração</t>
  </si>
  <si>
    <t>Manutenção do orçado 2022, mesmo considerando 1,5 ano</t>
  </si>
  <si>
    <t>Realizado 2022</t>
  </si>
  <si>
    <t>Orçado x1,5</t>
  </si>
  <si>
    <t>Orçado x2</t>
  </si>
  <si>
    <t>Valor simbólico</t>
  </si>
  <si>
    <t>Valor simbólico, igual ao das doações para as obras da CVX Mundial</t>
  </si>
  <si>
    <t>Valor igual ao do acordo de cooperação</t>
  </si>
  <si>
    <t>Aprox. 10k para cada representante brasileiro (3)</t>
  </si>
  <si>
    <t>Orçado x2 (mesmo considerando investimento no site)</t>
  </si>
  <si>
    <t>Realizado x2</t>
  </si>
  <si>
    <t>Aprox. 6k de auxílio para cada jovem enviado (4 para JMJ e 1 para Encontro de Jovens da América Latina)</t>
  </si>
  <si>
    <t>%</t>
  </si>
  <si>
    <t>2/3 de nossas receitas continuam sendo ordinárias, oriundas das contribuições mensais</t>
  </si>
  <si>
    <t>metade de nossas despesas continuariam sendo ordinárias</t>
  </si>
  <si>
    <t>1/3 de nossas receitas são as destinadas exclusivamente para o Fundo</t>
  </si>
  <si>
    <t>Pouco mais da metade de nossas despesas seriam com o Fundo</t>
  </si>
  <si>
    <t xml:space="preserve">Mesmo com todos estes investimentos, ainda manteríamos um bom saldo positivo. </t>
  </si>
  <si>
    <t>Projetos de geração de renda e mitigação da pobreza</t>
  </si>
  <si>
    <t>Observações (memória de cálculo)</t>
  </si>
  <si>
    <t>Como o fechamento da conta no Bradesco, não teremos mais os rendimentos financeiros - mas também não teremos despesas bancárias</t>
  </si>
  <si>
    <t>Realizado x3 semestres</t>
  </si>
  <si>
    <t>Realizado x2 (estimativa jogando pra cima, já considerando a transição da CEN em 2023)</t>
  </si>
  <si>
    <t>Ideia é ser pessimista e não considerar doações</t>
  </si>
  <si>
    <t>Aprox. 750 de auxílio por comunidade, para que cada comunidade envie dois representantes</t>
  </si>
  <si>
    <t>Provisão básica, mas é bem provável que, por conta da Assembleia e do Magis VI, nem tenhamos formações internacionais como as deste ano</t>
  </si>
  <si>
    <t>Explicações nos comentários da célula H36</t>
  </si>
  <si>
    <t>Aprox. realizado x3 semestres</t>
  </si>
  <si>
    <t>Igual ao orçado 2022 (repetir valores do acordo)</t>
  </si>
  <si>
    <t>Valor é negativo para o fundo, o que signifca que o saldo ordinário projetado, bastante positivo, cobriria parte das despesas do Fundo</t>
  </si>
  <si>
    <t>Em relação às operações ordinárias, temos um superávit bastante razoável...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</si>
</sst>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0.0%"/>
  </numFmts>
  <fonts count="41" x14ac:knownFonts="1">
    <font>
      <sz val="12"/>
      <color rgb="FF000000"/>
      <name val="Calibri"/>
    </font>
    <font>
      <sz val="12"/>
      <name val="Calibri"/>
    </font>
    <font>
      <b/>
      <sz val="2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.5"/>
      <color rgb="FF000000"/>
      <name val="Calibri"/>
      <family val="2"/>
    </font>
    <font>
      <sz val="10.5"/>
      <color rgb="FFFFFFFF"/>
      <name val="Calibri"/>
      <family val="2"/>
    </font>
    <font>
      <b/>
      <sz val="10.5"/>
      <color rgb="FF000000"/>
      <name val="Calibri"/>
      <family val="2"/>
    </font>
    <font>
      <sz val="10.5"/>
      <name val="Calibri"/>
      <family val="2"/>
    </font>
    <font>
      <b/>
      <sz val="10.5"/>
      <color rgb="FFFFFFFF"/>
      <name val="Calibri"/>
      <family val="2"/>
    </font>
    <font>
      <b/>
      <sz val="10.5"/>
      <color rgb="FFC00000"/>
      <name val="Calibri"/>
      <family val="2"/>
    </font>
    <font>
      <sz val="12"/>
      <color rgb="FF000000"/>
      <name val="Calibri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7030A0"/>
      <name val="Calibri"/>
      <family val="2"/>
    </font>
    <font>
      <sz val="10"/>
      <color rgb="FF7030A0"/>
      <name val="Calibri"/>
      <family val="2"/>
    </font>
    <font>
      <u/>
      <sz val="12"/>
      <color theme="10"/>
      <name val="Calibri"/>
      <family val="2"/>
    </font>
    <font>
      <u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2" tint="-0.499984740745262"/>
      <name val="Calibri"/>
      <family val="2"/>
    </font>
    <font>
      <b/>
      <sz val="8"/>
      <color rgb="FFFFFFFF"/>
      <name val="Calibri"/>
      <family val="2"/>
    </font>
    <font>
      <sz val="8"/>
      <color theme="8" tint="0.59999389629810485"/>
      <name val="Calibri"/>
      <family val="2"/>
    </font>
    <font>
      <b/>
      <sz val="8"/>
      <color theme="4" tint="-0.249977111117893"/>
      <name val="Calibri"/>
      <family val="2"/>
    </font>
    <font>
      <b/>
      <sz val="8"/>
      <name val="Calibri"/>
      <family val="2"/>
    </font>
    <font>
      <b/>
      <sz val="8"/>
      <color rgb="FF760000"/>
      <name val="Calibri"/>
      <family val="2"/>
    </font>
    <font>
      <sz val="8"/>
      <color theme="0" tint="-0.249977111117893"/>
      <name val="Calibri"/>
      <family val="2"/>
    </font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b/>
      <sz val="8"/>
      <color theme="2" tint="-0.499984740745262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4" tint="-0.249977111117893"/>
      <name val="Calibri"/>
      <family val="2"/>
    </font>
    <font>
      <b/>
      <sz val="11"/>
      <color rgb="FF760000"/>
      <name val="Calibri"/>
      <family val="2"/>
    </font>
    <font>
      <b/>
      <sz val="11"/>
      <color theme="9" tint="-0.499984740745262"/>
      <name val="Calibri"/>
      <family val="2"/>
    </font>
    <font>
      <b/>
      <sz val="11"/>
      <color theme="5" tint="-0.499984740745262"/>
      <name val="Calibri"/>
      <family val="2"/>
    </font>
    <font>
      <b/>
      <sz val="11"/>
      <color rgb="FFFF0000"/>
      <name val="Calibri"/>
      <family val="2"/>
    </font>
    <font>
      <b/>
      <sz val="11"/>
      <color theme="4"/>
      <name val="Calibri"/>
      <family val="2"/>
    </font>
    <font>
      <b/>
      <sz val="12"/>
      <color theme="1" tint="0.499984740745262"/>
      <name val="Calibri"/>
      <family val="2"/>
    </font>
    <font>
      <b/>
      <sz val="8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1F497D"/>
        <bgColor rgb="FF1F497D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C0504D"/>
        <bgColor rgb="FFC0504D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F2DCDB"/>
        <bgColor rgb="FFF2DCDB"/>
      </patternFill>
    </fill>
    <fill>
      <patternFill patternType="solid">
        <fgColor rgb="FFD99594"/>
        <bgColor rgb="FFD99594"/>
      </patternFill>
    </fill>
    <fill>
      <patternFill patternType="solid">
        <fgColor theme="6" tint="-0.249977111117893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E6B8B7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1F497D"/>
      </patternFill>
    </fill>
    <fill>
      <patternFill patternType="solid">
        <fgColor theme="0"/>
        <bgColor rgb="FFDBE5F1"/>
      </patternFill>
    </fill>
    <fill>
      <patternFill patternType="solid">
        <fgColor rgb="FFF2DBDB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8" tint="0.79998168889431442"/>
        <bgColor rgb="FFDBE5F1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BDB"/>
        <bgColor rgb="FFFFFFFF"/>
      </patternFill>
    </fill>
    <fill>
      <patternFill patternType="solid">
        <fgColor theme="8" tint="0.59999389629810485"/>
        <bgColor rgb="FFDBE5F1"/>
      </patternFill>
    </fill>
    <fill>
      <patternFill patternType="solid">
        <fgColor theme="8" tint="0.59999389629810485"/>
        <bgColor rgb="FFFFFFFF"/>
      </patternFill>
    </fill>
    <fill>
      <patternFill patternType="solid">
        <fgColor rgb="FFE5B5B5"/>
        <bgColor rgb="FFF2DBDB"/>
      </patternFill>
    </fill>
    <fill>
      <patternFill patternType="solid">
        <fgColor rgb="FFE5B5B5"/>
        <bgColor rgb="FFFFFFFF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DBE5F1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rgb="FFF2DBDB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rgb="FFFFFF00"/>
        <bgColor rgb="FFDBE5F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5B5B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28" fillId="0" borderId="4"/>
    <xf numFmtId="44" fontId="29" fillId="0" borderId="4" applyFont="0" applyFill="0" applyBorder="0" applyAlignment="0" applyProtection="0"/>
    <xf numFmtId="9" fontId="28" fillId="0" borderId="4" applyFont="0" applyFill="0" applyBorder="0" applyAlignment="0" applyProtection="0"/>
  </cellStyleXfs>
  <cellXfs count="190">
    <xf numFmtId="0" fontId="0" fillId="0" borderId="0" xfId="0" applyFont="1" applyAlignment="1"/>
    <xf numFmtId="0" fontId="0" fillId="3" borderId="1" xfId="0" applyFont="1" applyFill="1" applyBorder="1"/>
    <xf numFmtId="0" fontId="0" fillId="0" borderId="0" xfId="0" applyFont="1" applyAlignment="1"/>
    <xf numFmtId="0" fontId="3" fillId="3" borderId="1" xfId="0" applyFont="1" applyFill="1" applyBorder="1"/>
    <xf numFmtId="0" fontId="3" fillId="0" borderId="0" xfId="0" applyFont="1" applyAlignment="1"/>
    <xf numFmtId="0" fontId="4" fillId="3" borderId="1" xfId="0" applyFont="1" applyFill="1" applyBorder="1" applyAlignment="1">
      <alignment horizontal="center" vertical="center" textRotation="255"/>
    </xf>
    <xf numFmtId="0" fontId="0" fillId="14" borderId="0" xfId="0" applyFont="1" applyFill="1" applyAlignment="1"/>
    <xf numFmtId="0" fontId="3" fillId="14" borderId="0" xfId="0" applyFont="1" applyFill="1" applyAlignment="1"/>
    <xf numFmtId="0" fontId="0" fillId="3" borderId="4" xfId="0" applyFont="1" applyFill="1" applyBorder="1"/>
    <xf numFmtId="0" fontId="7" fillId="3" borderId="1" xfId="0" applyFont="1" applyFill="1" applyBorder="1"/>
    <xf numFmtId="0" fontId="8" fillId="13" borderId="5" xfId="0" applyFont="1" applyFill="1" applyBorder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64" fontId="7" fillId="4" borderId="5" xfId="0" applyNumberFormat="1" applyFont="1" applyFill="1" applyBorder="1"/>
    <xf numFmtId="0" fontId="9" fillId="9" borderId="9" xfId="0" applyFont="1" applyFill="1" applyBorder="1"/>
    <xf numFmtId="0" fontId="7" fillId="9" borderId="4" xfId="0" applyFont="1" applyFill="1" applyBorder="1"/>
    <xf numFmtId="0" fontId="7" fillId="9" borderId="10" xfId="0" applyFont="1" applyFill="1" applyBorder="1"/>
    <xf numFmtId="0" fontId="7" fillId="9" borderId="9" xfId="0" applyFont="1" applyFill="1" applyBorder="1"/>
    <xf numFmtId="165" fontId="7" fillId="3" borderId="3" xfId="0" applyNumberFormat="1" applyFont="1" applyFill="1" applyBorder="1"/>
    <xf numFmtId="165" fontId="7" fillId="9" borderId="10" xfId="0" applyNumberFormat="1" applyFont="1" applyFill="1" applyBorder="1"/>
    <xf numFmtId="0" fontId="9" fillId="6" borderId="9" xfId="0" applyFont="1" applyFill="1" applyBorder="1"/>
    <xf numFmtId="0" fontId="7" fillId="6" borderId="4" xfId="0" applyFont="1" applyFill="1" applyBorder="1"/>
    <xf numFmtId="0" fontId="7" fillId="6" borderId="10" xfId="0" applyFont="1" applyFill="1" applyBorder="1"/>
    <xf numFmtId="0" fontId="7" fillId="6" borderId="9" xfId="0" applyFont="1" applyFill="1" applyBorder="1"/>
    <xf numFmtId="165" fontId="7" fillId="6" borderId="10" xfId="0" applyNumberFormat="1" applyFont="1" applyFill="1" applyBorder="1"/>
    <xf numFmtId="0" fontId="8" fillId="0" borderId="0" xfId="0" applyFont="1" applyAlignment="1">
      <alignment horizontal="left" vertical="top"/>
    </xf>
    <xf numFmtId="165" fontId="7" fillId="15" borderId="4" xfId="0" applyNumberFormat="1" applyFont="1" applyFill="1" applyBorder="1" applyAlignment="1">
      <alignment horizontal="center"/>
    </xf>
    <xf numFmtId="165" fontId="7" fillId="6" borderId="4" xfId="0" applyNumberFormat="1" applyFont="1" applyFill="1" applyBorder="1"/>
    <xf numFmtId="165" fontId="7" fillId="9" borderId="4" xfId="0" applyNumberFormat="1" applyFont="1" applyFill="1" applyBorder="1"/>
    <xf numFmtId="0" fontId="10" fillId="3" borderId="0" xfId="0" applyFont="1" applyFill="1"/>
    <xf numFmtId="165" fontId="7" fillId="10" borderId="4" xfId="0" applyNumberFormat="1" applyFont="1" applyFill="1" applyBorder="1"/>
    <xf numFmtId="165" fontId="7" fillId="11" borderId="4" xfId="0" applyNumberFormat="1" applyFont="1" applyFill="1" applyBorder="1"/>
    <xf numFmtId="0" fontId="9" fillId="3" borderId="1" xfId="0" applyFont="1" applyFill="1" applyBorder="1" applyAlignment="1">
      <alignment horizontal="center" vertical="center" textRotation="255"/>
    </xf>
    <xf numFmtId="165" fontId="9" fillId="12" borderId="12" xfId="0" applyNumberFormat="1" applyFont="1" applyFill="1" applyBorder="1"/>
    <xf numFmtId="165" fontId="7" fillId="9" borderId="13" xfId="0" applyNumberFormat="1" applyFont="1" applyFill="1" applyBorder="1"/>
    <xf numFmtId="165" fontId="11" fillId="7" borderId="12" xfId="0" applyNumberFormat="1" applyFont="1" applyFill="1" applyBorder="1"/>
    <xf numFmtId="165" fontId="7" fillId="6" borderId="13" xfId="0" applyNumberFormat="1" applyFont="1" applyFill="1" applyBorder="1"/>
    <xf numFmtId="0" fontId="10" fillId="0" borderId="4" xfId="0" applyFont="1" applyBorder="1"/>
    <xf numFmtId="0" fontId="7" fillId="14" borderId="0" xfId="0" applyFont="1" applyFill="1" applyAlignment="1"/>
    <xf numFmtId="0" fontId="3" fillId="16" borderId="1" xfId="0" applyFont="1" applyFill="1" applyBorder="1"/>
    <xf numFmtId="0" fontId="12" fillId="9" borderId="9" xfId="0" applyFont="1" applyFill="1" applyBorder="1"/>
    <xf numFmtId="0" fontId="17" fillId="3" borderId="20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14" fontId="15" fillId="17" borderId="19" xfId="0" applyNumberFormat="1" applyFont="1" applyFill="1" applyBorder="1" applyAlignment="1" applyProtection="1">
      <alignment horizontal="center" vertical="center"/>
      <protection locked="0"/>
    </xf>
    <xf numFmtId="9" fontId="20" fillId="3" borderId="1" xfId="1" applyFont="1" applyFill="1" applyBorder="1"/>
    <xf numFmtId="0" fontId="8" fillId="18" borderId="4" xfId="0" applyFont="1" applyFill="1" applyBorder="1" applyAlignment="1">
      <alignment horizontal="center" vertical="top"/>
    </xf>
    <xf numFmtId="164" fontId="7" fillId="19" borderId="4" xfId="0" applyNumberFormat="1" applyFont="1" applyFill="1" applyBorder="1"/>
    <xf numFmtId="0" fontId="7" fillId="16" borderId="4" xfId="0" applyFont="1" applyFill="1" applyBorder="1"/>
    <xf numFmtId="0" fontId="19" fillId="20" borderId="4" xfId="2" applyFont="1" applyFill="1" applyBorder="1" applyAlignment="1">
      <alignment horizontal="center" vertical="top"/>
    </xf>
    <xf numFmtId="165" fontId="7" fillId="21" borderId="4" xfId="0" applyNumberFormat="1" applyFont="1" applyFill="1" applyBorder="1"/>
    <xf numFmtId="0" fontId="1" fillId="3" borderId="4" xfId="0" applyFont="1" applyFill="1" applyBorder="1" applyAlignment="1">
      <alignment horizontal="right"/>
    </xf>
    <xf numFmtId="9" fontId="21" fillId="3" borderId="4" xfId="1" applyFont="1" applyFill="1" applyBorder="1" applyAlignment="1">
      <alignment horizontal="center"/>
    </xf>
    <xf numFmtId="0" fontId="7" fillId="3" borderId="4" xfId="0" applyFont="1" applyFill="1" applyBorder="1"/>
    <xf numFmtId="0" fontId="9" fillId="6" borderId="4" xfId="0" applyFont="1" applyFill="1" applyBorder="1"/>
    <xf numFmtId="0" fontId="11" fillId="7" borderId="12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 vertical="center"/>
    </xf>
    <xf numFmtId="165" fontId="9" fillId="6" borderId="4" xfId="0" applyNumberFormat="1" applyFont="1" applyFill="1" applyBorder="1"/>
    <xf numFmtId="166" fontId="7" fillId="21" borderId="4" xfId="1" applyNumberFormat="1" applyFont="1" applyFill="1" applyBorder="1"/>
    <xf numFmtId="166" fontId="21" fillId="3" borderId="4" xfId="1" applyNumberFormat="1" applyFont="1" applyFill="1" applyBorder="1" applyAlignment="1">
      <alignment horizontal="center"/>
    </xf>
    <xf numFmtId="166" fontId="24" fillId="3" borderId="4" xfId="1" applyNumberFormat="1" applyFont="1" applyFill="1" applyBorder="1" applyAlignment="1">
      <alignment horizontal="center"/>
    </xf>
    <xf numFmtId="166" fontId="25" fillId="3" borderId="4" xfId="1" applyNumberFormat="1" applyFont="1" applyFill="1" applyBorder="1" applyAlignment="1">
      <alignment horizontal="center"/>
    </xf>
    <xf numFmtId="165" fontId="3" fillId="14" borderId="0" xfId="0" applyNumberFormat="1" applyFont="1" applyFill="1" applyAlignment="1"/>
    <xf numFmtId="44" fontId="0" fillId="0" borderId="0" xfId="0" applyNumberFormat="1" applyFont="1" applyAlignment="1"/>
    <xf numFmtId="166" fontId="1" fillId="3" borderId="4" xfId="1" applyNumberFormat="1" applyFont="1" applyFill="1" applyBorder="1" applyAlignment="1">
      <alignment horizontal="right"/>
    </xf>
    <xf numFmtId="166" fontId="26" fillId="3" borderId="4" xfId="1" applyNumberFormat="1" applyFont="1" applyFill="1" applyBorder="1" applyAlignment="1">
      <alignment horizontal="center"/>
    </xf>
    <xf numFmtId="164" fontId="17" fillId="16" borderId="21" xfId="0" applyNumberFormat="1" applyFont="1" applyFill="1" applyBorder="1" applyAlignment="1" applyProtection="1">
      <alignment horizontal="center" vertical="center"/>
      <protection locked="0"/>
    </xf>
    <xf numFmtId="44" fontId="27" fillId="3" borderId="4" xfId="0" applyNumberFormat="1" applyFont="1" applyFill="1" applyBorder="1" applyAlignment="1">
      <alignment horizontal="right"/>
    </xf>
    <xf numFmtId="44" fontId="3" fillId="0" borderId="0" xfId="0" applyNumberFormat="1" applyFont="1" applyAlignment="1"/>
    <xf numFmtId="0" fontId="12" fillId="9" borderId="9" xfId="0" applyFont="1" applyFill="1" applyBorder="1" applyAlignment="1"/>
    <xf numFmtId="0" fontId="12" fillId="9" borderId="4" xfId="0" applyFont="1" applyFill="1" applyBorder="1" applyAlignment="1"/>
    <xf numFmtId="0" fontId="9" fillId="9" borderId="4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top"/>
    </xf>
    <xf numFmtId="0" fontId="12" fillId="9" borderId="10" xfId="0" applyFont="1" applyFill="1" applyBorder="1" applyAlignment="1"/>
    <xf numFmtId="165" fontId="14" fillId="3" borderId="3" xfId="0" applyNumberFormat="1" applyFont="1" applyFill="1" applyBorder="1"/>
    <xf numFmtId="166" fontId="30" fillId="3" borderId="4" xfId="1" applyNumberFormat="1" applyFont="1" applyFill="1" applyBorder="1" applyAlignment="1">
      <alignment horizontal="center"/>
    </xf>
    <xf numFmtId="165" fontId="14" fillId="23" borderId="3" xfId="0" applyNumberFormat="1" applyFont="1" applyFill="1" applyBorder="1"/>
    <xf numFmtId="165" fontId="7" fillId="23" borderId="3" xfId="0" applyNumberFormat="1" applyFont="1" applyFill="1" applyBorder="1"/>
    <xf numFmtId="0" fontId="17" fillId="3" borderId="23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164" fontId="17" fillId="3" borderId="24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164" fontId="16" fillId="16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31" fillId="0" borderId="25" xfId="0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4" fillId="24" borderId="25" xfId="0" applyFont="1" applyFill="1" applyBorder="1" applyAlignment="1">
      <alignment vertical="center"/>
    </xf>
    <xf numFmtId="0" fontId="4" fillId="24" borderId="34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vertical="center"/>
    </xf>
    <xf numFmtId="165" fontId="3" fillId="25" borderId="4" xfId="0" applyNumberFormat="1" applyFont="1" applyFill="1" applyBorder="1" applyAlignment="1">
      <alignment vertical="center"/>
    </xf>
    <xf numFmtId="0" fontId="3" fillId="24" borderId="31" xfId="0" applyFont="1" applyFill="1" applyBorder="1" applyAlignment="1">
      <alignment vertical="center"/>
    </xf>
    <xf numFmtId="165" fontId="3" fillId="25" borderId="22" xfId="0" applyNumberFormat="1" applyFont="1" applyFill="1" applyBorder="1" applyAlignment="1">
      <alignment vertical="center"/>
    </xf>
    <xf numFmtId="0" fontId="33" fillId="28" borderId="29" xfId="0" applyFont="1" applyFill="1" applyBorder="1" applyAlignment="1">
      <alignment vertical="center"/>
    </xf>
    <xf numFmtId="165" fontId="33" fillId="29" borderId="3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9" borderId="25" xfId="0" applyFont="1" applyFill="1" applyBorder="1" applyAlignment="1">
      <alignment vertical="center"/>
    </xf>
    <xf numFmtId="0" fontId="4" fillId="9" borderId="34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vertical="center"/>
    </xf>
    <xf numFmtId="165" fontId="3" fillId="27" borderId="4" xfId="0" applyNumberFormat="1" applyFont="1" applyFill="1" applyBorder="1" applyAlignment="1">
      <alignment vertical="center"/>
    </xf>
    <xf numFmtId="0" fontId="3" fillId="9" borderId="31" xfId="0" applyFont="1" applyFill="1" applyBorder="1" applyAlignment="1">
      <alignment vertical="center"/>
    </xf>
    <xf numFmtId="165" fontId="3" fillId="27" borderId="22" xfId="0" applyNumberFormat="1" applyFont="1" applyFill="1" applyBorder="1" applyAlignment="1">
      <alignment vertical="center"/>
    </xf>
    <xf numFmtId="0" fontId="34" fillId="30" borderId="29" xfId="0" applyFont="1" applyFill="1" applyBorder="1" applyAlignment="1">
      <alignment vertical="center"/>
    </xf>
    <xf numFmtId="165" fontId="34" fillId="31" borderId="33" xfId="0" applyNumberFormat="1" applyFont="1" applyFill="1" applyBorder="1" applyAlignment="1">
      <alignment vertical="center"/>
    </xf>
    <xf numFmtId="44" fontId="3" fillId="26" borderId="4" xfId="3" applyFont="1" applyFill="1" applyBorder="1" applyAlignment="1">
      <alignment vertical="center"/>
    </xf>
    <xf numFmtId="44" fontId="3" fillId="26" borderId="28" xfId="3" applyFont="1" applyFill="1" applyBorder="1" applyAlignment="1">
      <alignment vertical="center"/>
    </xf>
    <xf numFmtId="44" fontId="3" fillId="26" borderId="22" xfId="3" applyFont="1" applyFill="1" applyBorder="1" applyAlignment="1">
      <alignment vertical="center"/>
    </xf>
    <xf numFmtId="44" fontId="3" fillId="26" borderId="32" xfId="3" applyFont="1" applyFill="1" applyBorder="1" applyAlignment="1">
      <alignment vertical="center"/>
    </xf>
    <xf numFmtId="165" fontId="33" fillId="29" borderId="30" xfId="0" applyNumberFormat="1" applyFont="1" applyFill="1" applyBorder="1" applyAlignment="1">
      <alignment vertical="center"/>
    </xf>
    <xf numFmtId="165" fontId="34" fillId="31" borderId="30" xfId="0" applyNumberFormat="1" applyFont="1" applyFill="1" applyBorder="1" applyAlignment="1">
      <alignment vertical="center"/>
    </xf>
    <xf numFmtId="44" fontId="3" fillId="22" borderId="4" xfId="3" applyFont="1" applyFill="1" applyBorder="1" applyAlignment="1">
      <alignment vertical="center"/>
    </xf>
    <xf numFmtId="44" fontId="3" fillId="22" borderId="28" xfId="3" applyFont="1" applyFill="1" applyBorder="1" applyAlignment="1">
      <alignment vertical="center"/>
    </xf>
    <xf numFmtId="44" fontId="3" fillId="22" borderId="32" xfId="3" applyFont="1" applyFill="1" applyBorder="1" applyAlignment="1">
      <alignment vertical="center"/>
    </xf>
    <xf numFmtId="0" fontId="4" fillId="32" borderId="25" xfId="0" applyFont="1" applyFill="1" applyBorder="1" applyAlignment="1">
      <alignment vertical="center"/>
    </xf>
    <xf numFmtId="0" fontId="4" fillId="32" borderId="34" xfId="0" applyFont="1" applyFill="1" applyBorder="1" applyAlignment="1">
      <alignment horizontal="center" vertical="center"/>
    </xf>
    <xf numFmtId="0" fontId="4" fillId="32" borderId="26" xfId="0" applyFont="1" applyFill="1" applyBorder="1" applyAlignment="1">
      <alignment horizontal="center" vertical="center"/>
    </xf>
    <xf numFmtId="0" fontId="3" fillId="32" borderId="27" xfId="0" applyFont="1" applyFill="1" applyBorder="1" applyAlignment="1">
      <alignment vertical="center"/>
    </xf>
    <xf numFmtId="165" fontId="3" fillId="33" borderId="4" xfId="0" applyNumberFormat="1" applyFont="1" applyFill="1" applyBorder="1" applyAlignment="1">
      <alignment vertical="center"/>
    </xf>
    <xf numFmtId="44" fontId="3" fillId="34" borderId="28" xfId="3" applyFont="1" applyFill="1" applyBorder="1" applyAlignment="1">
      <alignment vertical="center"/>
    </xf>
    <xf numFmtId="0" fontId="3" fillId="32" borderId="31" xfId="0" applyFont="1" applyFill="1" applyBorder="1" applyAlignment="1">
      <alignment vertical="center"/>
    </xf>
    <xf numFmtId="165" fontId="3" fillId="33" borderId="22" xfId="0" applyNumberFormat="1" applyFont="1" applyFill="1" applyBorder="1" applyAlignment="1">
      <alignment vertical="center"/>
    </xf>
    <xf numFmtId="44" fontId="3" fillId="34" borderId="32" xfId="3" applyFont="1" applyFill="1" applyBorder="1" applyAlignment="1">
      <alignment vertical="center"/>
    </xf>
    <xf numFmtId="0" fontId="35" fillId="35" borderId="29" xfId="0" applyFont="1" applyFill="1" applyBorder="1" applyAlignment="1">
      <alignment vertical="center"/>
    </xf>
    <xf numFmtId="165" fontId="35" fillId="36" borderId="33" xfId="0" applyNumberFormat="1" applyFont="1" applyFill="1" applyBorder="1" applyAlignment="1">
      <alignment vertical="center"/>
    </xf>
    <xf numFmtId="165" fontId="35" fillId="36" borderId="30" xfId="0" applyNumberFormat="1" applyFont="1" applyFill="1" applyBorder="1" applyAlignment="1">
      <alignment vertical="center"/>
    </xf>
    <xf numFmtId="0" fontId="4" fillId="37" borderId="25" xfId="0" applyFont="1" applyFill="1" applyBorder="1" applyAlignment="1">
      <alignment vertical="center"/>
    </xf>
    <xf numFmtId="0" fontId="4" fillId="37" borderId="34" xfId="0" applyFont="1" applyFill="1" applyBorder="1" applyAlignment="1">
      <alignment horizontal="center" vertical="center"/>
    </xf>
    <xf numFmtId="0" fontId="4" fillId="37" borderId="26" xfId="0" applyFont="1" applyFill="1" applyBorder="1" applyAlignment="1">
      <alignment horizontal="center" vertical="center"/>
    </xf>
    <xf numFmtId="0" fontId="3" fillId="37" borderId="27" xfId="0" applyFont="1" applyFill="1" applyBorder="1" applyAlignment="1">
      <alignment vertical="center"/>
    </xf>
    <xf numFmtId="165" fontId="3" fillId="38" borderId="4" xfId="0" applyNumberFormat="1" applyFont="1" applyFill="1" applyBorder="1" applyAlignment="1">
      <alignment vertical="center"/>
    </xf>
    <xf numFmtId="44" fontId="3" fillId="39" borderId="4" xfId="3" applyFont="1" applyFill="1" applyBorder="1" applyAlignment="1">
      <alignment vertical="center"/>
    </xf>
    <xf numFmtId="44" fontId="3" fillId="39" borderId="28" xfId="3" applyFont="1" applyFill="1" applyBorder="1" applyAlignment="1">
      <alignment vertical="center"/>
    </xf>
    <xf numFmtId="0" fontId="3" fillId="37" borderId="31" xfId="0" applyFont="1" applyFill="1" applyBorder="1" applyAlignment="1">
      <alignment vertical="center"/>
    </xf>
    <xf numFmtId="165" fontId="3" fillId="38" borderId="22" xfId="0" applyNumberFormat="1" applyFont="1" applyFill="1" applyBorder="1" applyAlignment="1">
      <alignment vertical="center"/>
    </xf>
    <xf numFmtId="44" fontId="3" fillId="39" borderId="22" xfId="3" applyFont="1" applyFill="1" applyBorder="1" applyAlignment="1">
      <alignment vertical="center"/>
    </xf>
    <xf numFmtId="44" fontId="3" fillId="39" borderId="32" xfId="3" applyFont="1" applyFill="1" applyBorder="1" applyAlignment="1">
      <alignment vertical="center"/>
    </xf>
    <xf numFmtId="0" fontId="36" fillId="40" borderId="29" xfId="0" applyFont="1" applyFill="1" applyBorder="1" applyAlignment="1">
      <alignment vertical="center"/>
    </xf>
    <xf numFmtId="165" fontId="36" fillId="41" borderId="33" xfId="0" applyNumberFormat="1" applyFont="1" applyFill="1" applyBorder="1" applyAlignment="1">
      <alignment vertical="center"/>
    </xf>
    <xf numFmtId="165" fontId="36" fillId="41" borderId="30" xfId="0" applyNumberFormat="1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3" fillId="37" borderId="35" xfId="0" applyFont="1" applyFill="1" applyBorder="1" applyAlignment="1">
      <alignment vertical="center"/>
    </xf>
    <xf numFmtId="165" fontId="3" fillId="38" borderId="36" xfId="0" applyNumberFormat="1" applyFont="1" applyFill="1" applyBorder="1" applyAlignment="1">
      <alignment vertical="center"/>
    </xf>
    <xf numFmtId="44" fontId="3" fillId="39" borderId="36" xfId="3" applyFont="1" applyFill="1" applyBorder="1" applyAlignment="1">
      <alignment vertical="center"/>
    </xf>
    <xf numFmtId="44" fontId="3" fillId="39" borderId="37" xfId="3" applyFont="1" applyFill="1" applyBorder="1" applyAlignment="1">
      <alignment vertical="center"/>
    </xf>
    <xf numFmtId="0" fontId="4" fillId="42" borderId="38" xfId="0" applyFont="1" applyFill="1" applyBorder="1" applyAlignment="1">
      <alignment vertical="center"/>
    </xf>
    <xf numFmtId="165" fontId="3" fillId="42" borderId="39" xfId="0" applyNumberFormat="1" applyFont="1" applyFill="1" applyBorder="1" applyAlignment="1">
      <alignment horizontal="center" vertical="center"/>
    </xf>
    <xf numFmtId="0" fontId="4" fillId="43" borderId="38" xfId="0" applyFont="1" applyFill="1" applyBorder="1" applyAlignment="1">
      <alignment vertical="center"/>
    </xf>
    <xf numFmtId="165" fontId="3" fillId="43" borderId="39" xfId="0" applyNumberFormat="1" applyFont="1" applyFill="1" applyBorder="1" applyAlignment="1">
      <alignment horizontal="center" vertical="center"/>
    </xf>
    <xf numFmtId="165" fontId="4" fillId="43" borderId="4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5" fontId="37" fillId="42" borderId="40" xfId="0" applyNumberFormat="1" applyFont="1" applyFill="1" applyBorder="1" applyAlignment="1">
      <alignment horizontal="center" vertical="center"/>
    </xf>
    <xf numFmtId="165" fontId="38" fillId="42" borderId="40" xfId="0" applyNumberFormat="1" applyFont="1" applyFill="1" applyBorder="1" applyAlignment="1">
      <alignment horizontal="center" vertical="center"/>
    </xf>
    <xf numFmtId="44" fontId="39" fillId="0" borderId="26" xfId="3" applyFont="1" applyBorder="1" applyAlignment="1">
      <alignment vertical="center"/>
    </xf>
    <xf numFmtId="0" fontId="40" fillId="24" borderId="4" xfId="0" applyFont="1" applyFill="1" applyBorder="1" applyAlignment="1">
      <alignment horizontal="center" vertical="center"/>
    </xf>
    <xf numFmtId="0" fontId="40" fillId="9" borderId="4" xfId="0" applyFont="1" applyFill="1" applyBorder="1" applyAlignment="1">
      <alignment horizontal="center" vertical="center"/>
    </xf>
    <xf numFmtId="0" fontId="40" fillId="32" borderId="4" xfId="0" applyFont="1" applyFill="1" applyBorder="1" applyAlignment="1">
      <alignment horizontal="center" vertical="center"/>
    </xf>
    <xf numFmtId="0" fontId="40" fillId="37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20" fillId="26" borderId="4" xfId="1" applyFont="1" applyFill="1" applyBorder="1" applyAlignment="1">
      <alignment horizontal="center" vertical="center"/>
    </xf>
    <xf numFmtId="9" fontId="20" fillId="22" borderId="4" xfId="1" applyFont="1" applyFill="1" applyBorder="1" applyAlignment="1">
      <alignment horizontal="center" vertical="center"/>
    </xf>
    <xf numFmtId="9" fontId="20" fillId="34" borderId="4" xfId="1" applyFont="1" applyFill="1" applyBorder="1" applyAlignment="1">
      <alignment horizontal="center" vertical="center"/>
    </xf>
    <xf numFmtId="9" fontId="20" fillId="39" borderId="4" xfId="1" applyFont="1" applyFill="1" applyBorder="1" applyAlignment="1">
      <alignment horizontal="center" vertical="center"/>
    </xf>
    <xf numFmtId="9" fontId="40" fillId="44" borderId="4" xfId="1" applyFont="1" applyFill="1" applyBorder="1" applyAlignment="1">
      <alignment horizontal="center" vertical="center"/>
    </xf>
    <xf numFmtId="9" fontId="40" fillId="45" borderId="4" xfId="1" applyFont="1" applyFill="1" applyBorder="1" applyAlignment="1">
      <alignment horizontal="center" vertical="center"/>
    </xf>
    <xf numFmtId="9" fontId="40" fillId="47" borderId="4" xfId="1" applyFont="1" applyFill="1" applyBorder="1" applyAlignment="1">
      <alignment horizontal="center" vertical="center"/>
    </xf>
    <xf numFmtId="9" fontId="40" fillId="46" borderId="4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textRotation="255"/>
    </xf>
    <xf numFmtId="0" fontId="10" fillId="0" borderId="4" xfId="0" applyFont="1" applyBorder="1"/>
    <xf numFmtId="0" fontId="4" fillId="3" borderId="2" xfId="0" applyFont="1" applyFill="1" applyBorder="1" applyAlignment="1">
      <alignment horizontal="center" vertical="center" textRotation="255"/>
    </xf>
    <xf numFmtId="0" fontId="5" fillId="0" borderId="4" xfId="0" applyFont="1" applyBorder="1"/>
    <xf numFmtId="0" fontId="19" fillId="5" borderId="7" xfId="2" applyFont="1" applyFill="1" applyBorder="1" applyAlignment="1">
      <alignment horizontal="center" vertical="top"/>
    </xf>
    <xf numFmtId="0" fontId="19" fillId="5" borderId="8" xfId="2" applyFont="1" applyFill="1" applyBorder="1" applyAlignment="1">
      <alignment horizontal="center" vertical="top"/>
    </xf>
    <xf numFmtId="0" fontId="11" fillId="8" borderId="6" xfId="0" applyFont="1" applyFill="1" applyBorder="1" applyAlignment="1">
      <alignment horizontal="left" vertical="top"/>
    </xf>
    <xf numFmtId="0" fontId="11" fillId="8" borderId="7" xfId="0" applyFont="1" applyFill="1" applyBorder="1" applyAlignment="1">
      <alignment horizontal="left" vertical="top"/>
    </xf>
    <xf numFmtId="0" fontId="11" fillId="8" borderId="8" xfId="0" applyFont="1" applyFill="1" applyBorder="1" applyAlignment="1">
      <alignment horizontal="left" vertical="top"/>
    </xf>
  </cellXfs>
  <cellStyles count="7">
    <cellStyle name="Hiperlink" xfId="2" builtinId="8"/>
    <cellStyle name="Moeda" xfId="3" builtinId="4"/>
    <cellStyle name="Moeda 2" xfId="5" xr:uid="{3AF2C346-04D8-4E89-9497-83DB97116358}"/>
    <cellStyle name="Normal" xfId="0" builtinId="0"/>
    <cellStyle name="Normal 2" xfId="4" xr:uid="{52F182E7-3F7B-468F-A905-35C1302ED136}"/>
    <cellStyle name="Porcentagem" xfId="1" builtinId="5"/>
    <cellStyle name="Porcentagem 2" xfId="6" xr:uid="{72C28626-54D8-464B-9412-246AF14096BD}"/>
  </cellStyles>
  <dxfs count="46">
    <dxf>
      <font>
        <color rgb="FF9C0006"/>
      </font>
      <fill>
        <patternFill patternType="solid">
          <bgColor rgb="FFF2DBDB"/>
        </patternFill>
      </fill>
    </dxf>
    <dxf>
      <font>
        <color rgb="FF76923C"/>
      </font>
      <fill>
        <patternFill patternType="solid">
          <fgColor rgb="FFF2DBDB"/>
          <bgColor rgb="FFF2DBDB"/>
        </patternFill>
      </fill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</dxfs>
  <tableStyles count="0" defaultTableStyle="TableStyleMedium2" defaultPivotStyle="PivotStyleLight16"/>
  <colors>
    <mruColors>
      <color rgb="FFCC9900"/>
      <color rgb="FFE5B5B5"/>
      <color rgb="FFFFFF99"/>
      <color rgb="FF760000"/>
      <color rgb="FFF2DBDB"/>
      <color rgb="FFDBE5F1"/>
      <color rgb="FFFFCCCC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0397553516819572"/>
          <c:y val="7.8782475213409156E-2"/>
          <c:w val="0.78283079293987334"/>
          <c:h val="0.87428868966402884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'Orçado x Realizado'!$D$14</c:f>
              <c:strCache>
                <c:ptCount val="1"/>
                <c:pt idx="0">
                  <c:v>Orçado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'Orçado x Realizado'!$C$15:$C$16</c:f>
              <c:strCache>
                <c:ptCount val="2"/>
                <c:pt idx="0">
                  <c:v>Receitas totais</c:v>
                </c:pt>
                <c:pt idx="1">
                  <c:v>Despesas totais</c:v>
                </c:pt>
              </c:strCache>
            </c:strRef>
          </c:cat>
          <c:val>
            <c:numRef>
              <c:f>'Orçado x Realizado'!$D$15:$D$16</c:f>
              <c:numCache>
                <c:formatCode>"R$"\ #,##0.00</c:formatCode>
                <c:ptCount val="2"/>
                <c:pt idx="0">
                  <c:v>167948.11</c:v>
                </c:pt>
                <c:pt idx="1">
                  <c:v>-156258.96931850002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F-4E90-A058-A57B5A82C4F1}"/>
            </c:ext>
          </c:extLst>
        </c:ser>
        <c:ser>
          <c:idx val="1"/>
          <c:order val="1"/>
          <c:tx>
            <c:strRef>
              <c:f>'Orçado x Realizado'!$E$14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2594-4E99-A9FA-FFFF54D93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'Orçado x Realizado'!$C$15:$C$16</c:f>
              <c:strCache>
                <c:ptCount val="2"/>
                <c:pt idx="0">
                  <c:v>Receitas totais</c:v>
                </c:pt>
                <c:pt idx="1">
                  <c:v>Despesas totais</c:v>
                </c:pt>
              </c:strCache>
            </c:strRef>
          </c:cat>
          <c:val>
            <c:numRef>
              <c:f>'Orçado x Realizado'!$E$15:$E$16</c:f>
              <c:numCache>
                <c:formatCode>"R$"\ 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F-4E90-A058-A57B5A82C4F1}"/>
            </c:ext>
          </c:extLst>
        </c:ser>
        <c:ser>
          <c:idx val="2"/>
          <c:order val="2"/>
          <c:tx>
            <c:strRef>
              <c:f>'Orçado x Realizado'!$F$14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'Orçado x Realizado'!$C$15:$C$16</c:f>
              <c:strCache>
                <c:ptCount val="2"/>
                <c:pt idx="0">
                  <c:v>Receitas totais</c:v>
                </c:pt>
                <c:pt idx="1">
                  <c:v>Despesas totais</c:v>
                </c:pt>
              </c:strCache>
            </c:strRef>
          </c:cat>
          <c:val>
            <c:numRef>
              <c:f>'Orçado x Realizado'!$F$15:$F$16</c:f>
              <c:numCache>
                <c:formatCode>"R$"\ 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F-44F0-A809-6620F080AD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7992329"/>
        <c:axId val="1388144510"/>
      </c:barChart>
      <c:catAx>
        <c:axId val="2057992329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388144510"/>
        <c:crosses val="autoZero"/>
        <c:auto val="1"/>
        <c:lblAlgn val="ctr"/>
        <c:lblOffset val="100"/>
        <c:noMultiLvlLbl val="1"/>
      </c:catAx>
      <c:valAx>
        <c:axId val="1388144510"/>
        <c:scaling>
          <c:orientation val="minMax"/>
        </c:scaling>
        <c:delete val="1"/>
        <c:axPos val="b"/>
        <c:numFmt formatCode="&quot;R$&quot;\ #,##0.00" sourceLinked="1"/>
        <c:majorTickMark val="none"/>
        <c:minorTickMark val="none"/>
        <c:tickLblPos val="nextTo"/>
        <c:crossAx val="2057992329"/>
        <c:crosses val="max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90359816001756399"/>
          <c:y val="0.33152529415541682"/>
          <c:w val="7.1751615615468181E-2"/>
          <c:h val="0.33663012896753225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zero"/>
    <c:showDLblsOverMax val="1"/>
  </c:chart>
  <c:spPr>
    <a:noFill/>
    <a:ln>
      <a:solidFill>
        <a:schemeClr val="bg2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145912</xdr:colOff>
      <xdr:row>2</xdr:row>
      <xdr:rowOff>162478</xdr:rowOff>
    </xdr:from>
    <xdr:to>
      <xdr:col>8</xdr:col>
      <xdr:colOff>1524000</xdr:colOff>
      <xdr:row>6</xdr:row>
      <xdr:rowOff>161236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E5F54C33-3F86-4DD7-B49A-1F2B89353760}"/>
            </a:ext>
          </a:extLst>
        </xdr:cNvPr>
        <xdr:cNvSpPr/>
      </xdr:nvSpPr>
      <xdr:spPr>
        <a:xfrm>
          <a:off x="286716" y="767108"/>
          <a:ext cx="7797110" cy="793889"/>
        </a:xfrm>
        <a:prstGeom prst="roundRect">
          <a:avLst/>
        </a:prstGeom>
        <a:solidFill>
          <a:srgbClr val="DBE5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140096</xdr:colOff>
      <xdr:row>0</xdr:row>
      <xdr:rowOff>94458</xdr:rowOff>
    </xdr:from>
    <xdr:ext cx="796131" cy="196148"/>
    <xdr:pic>
      <xdr:nvPicPr>
        <xdr:cNvPr id="3" name="image5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96" y="94458"/>
          <a:ext cx="796131" cy="19614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1935645</xdr:colOff>
      <xdr:row>9</xdr:row>
      <xdr:rowOff>80901</xdr:rowOff>
    </xdr:from>
    <xdr:to>
      <xdr:col>8</xdr:col>
      <xdr:colOff>2240446</xdr:colOff>
      <xdr:row>11</xdr:row>
      <xdr:rowOff>107872</xdr:rowOff>
    </xdr:to>
    <xdr:pic>
      <xdr:nvPicPr>
        <xdr:cNvPr id="6" name="Picture 6" descr="Logo CVX Brasil_site_1 – CVX Brasil">
          <a:extLst>
            <a:ext uri="{FF2B5EF4-FFF2-40B4-BE49-F238E27FC236}">
              <a16:creationId xmlns:a16="http://schemas.microsoft.com/office/drawing/2014/main" id="{E52563D4-A2D1-4ACF-BAFB-449098C102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536"/>
        <a:stretch/>
      </xdr:blipFill>
      <xdr:spPr bwMode="auto">
        <a:xfrm>
          <a:off x="8478906" y="2077010"/>
          <a:ext cx="307976" cy="42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134178</xdr:colOff>
      <xdr:row>68</xdr:row>
      <xdr:rowOff>85444</xdr:rowOff>
    </xdr:from>
    <xdr:to>
      <xdr:col>9</xdr:col>
      <xdr:colOff>2027</xdr:colOff>
      <xdr:row>76</xdr:row>
      <xdr:rowOff>31198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1DF8339-33D5-4705-B572-B06CE301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77439" y="13354183"/>
          <a:ext cx="2924132" cy="1405426"/>
        </a:xfrm>
        <a:prstGeom prst="rect">
          <a:avLst/>
        </a:prstGeom>
      </xdr:spPr>
    </xdr:pic>
    <xdr:clientData/>
  </xdr:twoCellAnchor>
  <xdr:twoCellAnchor editAs="oneCell">
    <xdr:from>
      <xdr:col>8</xdr:col>
      <xdr:colOff>84068</xdr:colOff>
      <xdr:row>51</xdr:row>
      <xdr:rowOff>6856</xdr:rowOff>
    </xdr:from>
    <xdr:to>
      <xdr:col>9</xdr:col>
      <xdr:colOff>1021236</xdr:colOff>
      <xdr:row>66</xdr:row>
      <xdr:rowOff>140804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9FEFB6E-CABD-4750-897E-7AE76D6E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7329" y="10037095"/>
          <a:ext cx="3993451" cy="2991448"/>
        </a:xfrm>
        <a:prstGeom prst="rect">
          <a:avLst/>
        </a:prstGeom>
      </xdr:spPr>
    </xdr:pic>
    <xdr:clientData/>
  </xdr:twoCellAnchor>
  <xdr:twoCellAnchor>
    <xdr:from>
      <xdr:col>1</xdr:col>
      <xdr:colOff>145912</xdr:colOff>
      <xdr:row>7</xdr:row>
      <xdr:rowOff>35064</xdr:rowOff>
    </xdr:from>
    <xdr:to>
      <xdr:col>8</xdr:col>
      <xdr:colOff>1524000</xdr:colOff>
      <xdr:row>11</xdr:row>
      <xdr:rowOff>40172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EAFF8B0A-6110-4013-B99C-AF350E6D2D3D}"/>
            </a:ext>
          </a:extLst>
        </xdr:cNvPr>
        <xdr:cNvSpPr/>
      </xdr:nvSpPr>
      <xdr:spPr>
        <a:xfrm>
          <a:off x="286716" y="1633607"/>
          <a:ext cx="7797110" cy="800239"/>
        </a:xfrm>
        <a:prstGeom prst="roundRect">
          <a:avLst/>
        </a:prstGeom>
        <a:solidFill>
          <a:srgbClr val="F2DBD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8</xdr:col>
      <xdr:colOff>82825</xdr:colOff>
      <xdr:row>80</xdr:row>
      <xdr:rowOff>74543</xdr:rowOff>
    </xdr:from>
    <xdr:to>
      <xdr:col>9</xdr:col>
      <xdr:colOff>221696</xdr:colOff>
      <xdr:row>85</xdr:row>
      <xdr:rowOff>164060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C7BAB49-F02F-4959-ABC9-624448B06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26086" y="15554739"/>
          <a:ext cx="3188804" cy="1083430"/>
        </a:xfrm>
        <a:prstGeom prst="rect">
          <a:avLst/>
        </a:prstGeom>
      </xdr:spPr>
    </xdr:pic>
    <xdr:clientData/>
  </xdr:twoCellAnchor>
  <xdr:twoCellAnchor editAs="oneCell">
    <xdr:from>
      <xdr:col>9</xdr:col>
      <xdr:colOff>126173</xdr:colOff>
      <xdr:row>68</xdr:row>
      <xdr:rowOff>42853</xdr:rowOff>
    </xdr:from>
    <xdr:to>
      <xdr:col>12</xdr:col>
      <xdr:colOff>104500</xdr:colOff>
      <xdr:row>79</xdr:row>
      <xdr:rowOff>67248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84C662E-FDE6-404E-BC2B-18E3AC7B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25716" y="13311592"/>
          <a:ext cx="2817329" cy="2030719"/>
        </a:xfrm>
        <a:prstGeom prst="rect">
          <a:avLst/>
        </a:prstGeom>
      </xdr:spPr>
    </xdr:pic>
    <xdr:clientData/>
  </xdr:twoCellAnchor>
  <xdr:oneCellAnchor>
    <xdr:from>
      <xdr:col>1</xdr:col>
      <xdr:colOff>76199</xdr:colOff>
      <xdr:row>1</xdr:row>
      <xdr:rowOff>187721</xdr:rowOff>
    </xdr:from>
    <xdr:ext cx="8695083" cy="1993504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</cdr:x>
      <cdr:y>0.10526</cdr:y>
    </cdr:from>
    <cdr:to>
      <cdr:x>0.12589</cdr:x>
      <cdr:y>0.56395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C07DA4A7-8D37-4802-99C2-03C4ACE7319D}"/>
            </a:ext>
          </a:extLst>
        </cdr:cNvPr>
        <cdr:cNvSpPr txBox="1"/>
      </cdr:nvSpPr>
      <cdr:spPr>
        <a:xfrm xmlns:a="http://schemas.openxmlformats.org/drawingml/2006/main">
          <a:off x="137387" y="209844"/>
          <a:ext cx="95725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rgbClr val="002060"/>
              </a:solidFill>
            </a:rPr>
            <a:t>Receitas</a:t>
          </a:r>
        </a:p>
      </cdr:txBody>
    </cdr:sp>
  </cdr:relSizeAnchor>
  <cdr:relSizeAnchor xmlns:cdr="http://schemas.openxmlformats.org/drawingml/2006/chartDrawing">
    <cdr:from>
      <cdr:x>0.01726</cdr:x>
      <cdr:y>0.54547</cdr:y>
    </cdr:from>
    <cdr:to>
      <cdr:x>0.12736</cdr:x>
      <cdr:y>0.6994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id="{5F3324E9-C5E5-497E-9E5F-343C85F07DCC}"/>
            </a:ext>
          </a:extLst>
        </cdr:cNvPr>
        <cdr:cNvSpPr txBox="1"/>
      </cdr:nvSpPr>
      <cdr:spPr>
        <a:xfrm xmlns:a="http://schemas.openxmlformats.org/drawingml/2006/main">
          <a:off x="150112" y="1087388"/>
          <a:ext cx="957257" cy="30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solidFill>
                <a:srgbClr val="760000"/>
              </a:solidFill>
            </a:rPr>
            <a:t>Despesas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</xdr:colOff>
      <xdr:row>2</xdr:row>
      <xdr:rowOff>25853</xdr:rowOff>
    </xdr:from>
    <xdr:to>
      <xdr:col>2</xdr:col>
      <xdr:colOff>1086971</xdr:colOff>
      <xdr:row>8</xdr:row>
      <xdr:rowOff>182467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F9787C-9D2A-4BD1-B3A9-EC2D838F8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028" y="429078"/>
          <a:ext cx="2499393" cy="1226589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</xdr:colOff>
      <xdr:row>11</xdr:row>
      <xdr:rowOff>34925</xdr:rowOff>
    </xdr:from>
    <xdr:to>
      <xdr:col>2</xdr:col>
      <xdr:colOff>1016907</xdr:colOff>
      <xdr:row>14</xdr:row>
      <xdr:rowOff>158751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8129EB-4319-4909-AD6C-3F22AB83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028" y="2111375"/>
          <a:ext cx="2432504" cy="7270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ael Riva Finatti" id="{B138EC32-CD86-44D9-A841-CA376C49DDE4}" userId="S::rafael.finatti@grupomarista.org.br::2e8db1ba-8bf1-469a-a7ea-3ee90291cc9c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6" dT="2022-07-13T02:42:07.26" personId="{B138EC32-CD86-44D9-A841-CA376C49DDE4}" id="{5D59DE1F-8919-4072-B8E1-DFF6C5731F42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O1003"/>
  <sheetViews>
    <sheetView topLeftCell="E1" zoomScale="70" zoomScaleNormal="70" workbookViewId="0">
      <pane ySplit="14" topLeftCell="A38" activePane="bottomLeft" state="frozen"/>
      <selection activeCell="E12" sqref="E12"/>
      <selection pane="bottomLeft" activeCell="E12" sqref="E12"/>
    </sheetView>
  </sheetViews>
  <sheetFormatPr defaultColWidth="11.25" defaultRowHeight="15" customHeight="1" x14ac:dyDescent="0.35"/>
  <cols>
    <col min="1" max="1" width="1.83203125" style="2" customWidth="1"/>
    <col min="2" max="2" width="34.83203125" bestFit="1" customWidth="1"/>
    <col min="3" max="3" width="4.83203125" style="2" customWidth="1"/>
    <col min="4" max="4" width="13.25" bestFit="1" customWidth="1"/>
    <col min="5" max="5" width="11.6640625" bestFit="1" customWidth="1"/>
    <col min="6" max="6" width="12.1640625" bestFit="1" customWidth="1"/>
    <col min="7" max="7" width="5.25" style="2" bestFit="1" customWidth="1"/>
    <col min="8" max="8" width="2.08203125" customWidth="1"/>
    <col min="9" max="9" width="40.1640625" bestFit="1" customWidth="1"/>
    <col min="10" max="10" width="13.58203125" bestFit="1" customWidth="1"/>
    <col min="11" max="11" width="11.4140625" bestFit="1" customWidth="1"/>
    <col min="12" max="12" width="12.1640625" bestFit="1" customWidth="1"/>
    <col min="13" max="13" width="12.1640625" style="2" bestFit="1" customWidth="1"/>
    <col min="14" max="14" width="5.33203125" bestFit="1" customWidth="1"/>
  </cols>
  <sheetData>
    <row r="1" spans="1:15" ht="32.5" customHeight="1" x14ac:dyDescent="0.35">
      <c r="A1" s="176" t="s">
        <v>106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1:15" s="2" customFormat="1" ht="15.5" x14ac:dyDescent="0.35">
      <c r="A2" s="6"/>
      <c r="B2" s="1"/>
      <c r="C2" s="8"/>
      <c r="D2" s="1"/>
      <c r="E2" s="1"/>
      <c r="F2" s="1"/>
      <c r="G2" s="8"/>
      <c r="H2" s="1"/>
      <c r="I2" s="1"/>
      <c r="J2" s="6"/>
      <c r="K2" s="6"/>
      <c r="L2" s="6"/>
      <c r="M2" s="53"/>
      <c r="N2" s="6"/>
    </row>
    <row r="3" spans="1:15" ht="15.5" x14ac:dyDescent="0.35">
      <c r="A3" s="6"/>
      <c r="B3" s="1"/>
      <c r="C3" s="8"/>
      <c r="D3" s="1"/>
      <c r="E3" s="1"/>
      <c r="F3" s="1"/>
      <c r="G3" s="8"/>
      <c r="H3" s="1"/>
      <c r="I3" s="1"/>
      <c r="J3" s="6"/>
      <c r="K3" s="6"/>
      <c r="L3" s="6"/>
      <c r="M3" s="53"/>
      <c r="N3" s="6"/>
    </row>
    <row r="4" spans="1:15" ht="15.5" x14ac:dyDescent="0.35">
      <c r="A4" s="6"/>
      <c r="B4" s="1"/>
      <c r="C4" s="8"/>
      <c r="D4" s="1"/>
      <c r="E4" s="1"/>
      <c r="F4" s="1"/>
      <c r="G4" s="8"/>
      <c r="H4" s="1"/>
      <c r="I4" s="1"/>
      <c r="J4" s="6"/>
      <c r="K4" s="6"/>
      <c r="L4" s="6"/>
      <c r="M4" s="53"/>
      <c r="N4" s="6"/>
    </row>
    <row r="5" spans="1:15" ht="15.5" x14ac:dyDescent="0.35">
      <c r="A5" s="6"/>
      <c r="B5" s="1"/>
      <c r="C5" s="8"/>
      <c r="D5" s="1"/>
      <c r="E5" s="1"/>
      <c r="F5" s="1"/>
      <c r="G5" s="8"/>
      <c r="H5" s="1"/>
      <c r="I5" s="1"/>
      <c r="J5" s="6"/>
      <c r="K5" s="6"/>
      <c r="L5" s="6"/>
      <c r="M5" s="53"/>
      <c r="N5" s="6"/>
    </row>
    <row r="6" spans="1:15" ht="15.5" x14ac:dyDescent="0.35">
      <c r="A6" s="6"/>
      <c r="B6" s="1"/>
      <c r="C6" s="8"/>
      <c r="D6" s="1"/>
      <c r="E6" s="1"/>
      <c r="F6" s="1"/>
      <c r="G6" s="8"/>
      <c r="H6" s="1"/>
      <c r="I6" s="1"/>
      <c r="J6" s="6"/>
      <c r="K6" s="6"/>
      <c r="L6" s="6"/>
      <c r="M6" s="53"/>
      <c r="N6" s="6"/>
    </row>
    <row r="7" spans="1:15" ht="15.5" x14ac:dyDescent="0.35">
      <c r="A7" s="6"/>
      <c r="B7" s="1"/>
      <c r="C7" s="8"/>
      <c r="D7" s="1"/>
      <c r="E7" s="1"/>
      <c r="F7" s="1"/>
      <c r="G7" s="8"/>
      <c r="H7" s="1"/>
      <c r="I7" s="1"/>
      <c r="J7" s="6"/>
      <c r="K7" s="6"/>
      <c r="L7" s="6"/>
      <c r="M7" s="53"/>
      <c r="N7" s="6"/>
    </row>
    <row r="8" spans="1:15" ht="15.5" x14ac:dyDescent="0.35">
      <c r="A8" s="6"/>
      <c r="B8" s="1"/>
      <c r="C8" s="8"/>
      <c r="D8" s="1"/>
      <c r="E8" s="1"/>
      <c r="F8" s="1"/>
      <c r="G8" s="8"/>
      <c r="H8" s="1"/>
      <c r="I8" s="1"/>
      <c r="J8" s="41" t="s">
        <v>113</v>
      </c>
      <c r="K8" s="42"/>
      <c r="L8" s="70">
        <v>104551.77</v>
      </c>
      <c r="M8" s="53"/>
      <c r="N8" s="6"/>
      <c r="O8" s="67"/>
    </row>
    <row r="9" spans="1:15" ht="16" thickBot="1" x14ac:dyDescent="0.4">
      <c r="A9" s="6"/>
      <c r="B9" s="1"/>
      <c r="C9" s="8"/>
      <c r="D9" s="1"/>
      <c r="E9" s="1"/>
      <c r="F9" s="1"/>
      <c r="G9" s="8"/>
      <c r="H9" s="1"/>
      <c r="I9" s="1"/>
      <c r="J9" s="82" t="s">
        <v>90</v>
      </c>
      <c r="K9" s="83"/>
      <c r="L9" s="84">
        <v>83441.08</v>
      </c>
      <c r="M9" s="53"/>
      <c r="N9" s="6"/>
    </row>
    <row r="10" spans="1:15" ht="16" thickTop="1" x14ac:dyDescent="0.35">
      <c r="A10" s="6"/>
      <c r="B10" s="1"/>
      <c r="C10" s="8"/>
      <c r="D10" s="1"/>
      <c r="E10" s="1"/>
      <c r="F10" s="1"/>
      <c r="G10" s="8"/>
      <c r="H10" s="1"/>
      <c r="I10" s="1"/>
      <c r="J10" s="85" t="s">
        <v>114</v>
      </c>
      <c r="K10" s="86"/>
      <c r="L10" s="87">
        <f>+L8+L9</f>
        <v>187992.85</v>
      </c>
      <c r="M10" s="71"/>
      <c r="N10" s="6"/>
    </row>
    <row r="11" spans="1:15" ht="15.5" x14ac:dyDescent="0.35">
      <c r="A11" s="6"/>
      <c r="B11" s="1"/>
      <c r="C11" s="8"/>
      <c r="D11" s="1"/>
      <c r="E11" s="1"/>
      <c r="F11" s="1"/>
      <c r="G11" s="8"/>
      <c r="H11" s="1"/>
      <c r="I11" s="1"/>
      <c r="J11" s="6"/>
      <c r="K11" s="6"/>
      <c r="L11" s="6"/>
      <c r="M11" s="53"/>
      <c r="N11" s="6"/>
    </row>
    <row r="12" spans="1:15" s="2" customFormat="1" ht="15.5" x14ac:dyDescent="0.35">
      <c r="A12" s="6"/>
      <c r="B12" s="8"/>
      <c r="C12" s="8"/>
      <c r="D12" s="8"/>
      <c r="E12" s="8"/>
      <c r="F12" s="8"/>
      <c r="G12" s="8"/>
      <c r="H12" s="8"/>
      <c r="I12" s="8"/>
      <c r="J12" s="179" t="s">
        <v>99</v>
      </c>
      <c r="K12" s="180"/>
      <c r="L12" s="46">
        <v>44754</v>
      </c>
      <c r="M12" s="53"/>
      <c r="N12" s="6"/>
    </row>
    <row r="13" spans="1:15" s="2" customFormat="1" ht="15.5" x14ac:dyDescent="0.3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53"/>
      <c r="N13" s="6"/>
    </row>
    <row r="14" spans="1:15" s="4" customFormat="1" ht="15" customHeight="1" x14ac:dyDescent="0.35">
      <c r="A14" s="7"/>
      <c r="B14" s="9"/>
      <c r="C14" s="55"/>
      <c r="D14" s="10" t="s">
        <v>2</v>
      </c>
      <c r="E14" s="10" t="s">
        <v>3</v>
      </c>
      <c r="F14" s="10" t="s">
        <v>107</v>
      </c>
      <c r="G14" s="48"/>
      <c r="H14" s="9"/>
      <c r="I14" s="11"/>
      <c r="J14" s="76" t="s">
        <v>110</v>
      </c>
      <c r="K14" s="76" t="s">
        <v>111</v>
      </c>
      <c r="L14" s="76" t="s">
        <v>112</v>
      </c>
      <c r="M14" s="76" t="s">
        <v>107</v>
      </c>
      <c r="N14" s="7"/>
    </row>
    <row r="15" spans="1:15" s="4" customFormat="1" ht="15" customHeight="1" x14ac:dyDescent="0.35">
      <c r="A15" s="7"/>
      <c r="B15" s="12"/>
      <c r="C15" s="12" t="s">
        <v>5</v>
      </c>
      <c r="D15" s="13">
        <f>+D97</f>
        <v>167948.11</v>
      </c>
      <c r="E15" s="13" t="e">
        <f>+E97</f>
        <v>#REF!</v>
      </c>
      <c r="F15" s="13" t="e">
        <f>+E15-D15</f>
        <v>#REF!</v>
      </c>
      <c r="G15" s="49"/>
      <c r="H15" s="9"/>
      <c r="I15" s="187" t="s">
        <v>0</v>
      </c>
      <c r="J15" s="188"/>
      <c r="K15" s="188"/>
      <c r="L15" s="188"/>
      <c r="M15" s="189"/>
      <c r="N15" s="7"/>
    </row>
    <row r="16" spans="1:15" s="4" customFormat="1" ht="15" customHeight="1" x14ac:dyDescent="0.35">
      <c r="A16" s="7"/>
      <c r="B16" s="12"/>
      <c r="C16" s="12" t="s">
        <v>6</v>
      </c>
      <c r="D16" s="13">
        <f>+J50</f>
        <v>-156258.96931850002</v>
      </c>
      <c r="E16" s="13" t="e">
        <f>+K50+L50</f>
        <v>#REF!</v>
      </c>
      <c r="F16" s="13" t="e">
        <f>E16-D16</f>
        <v>#REF!</v>
      </c>
      <c r="G16" s="49"/>
      <c r="H16" s="9"/>
      <c r="I16" s="73" t="s">
        <v>1</v>
      </c>
      <c r="J16" s="74"/>
      <c r="K16" s="74"/>
      <c r="L16" s="74"/>
      <c r="M16" s="77"/>
      <c r="N16" s="7"/>
    </row>
    <row r="17" spans="1:15" s="4" customFormat="1" ht="15" customHeight="1" x14ac:dyDescent="0.35">
      <c r="A17" s="7"/>
      <c r="B17" s="9"/>
      <c r="C17" s="55"/>
      <c r="D17" s="9"/>
      <c r="E17" s="9"/>
      <c r="F17" s="9"/>
      <c r="G17" s="50"/>
      <c r="H17" s="9"/>
      <c r="I17" s="14" t="s">
        <v>22</v>
      </c>
      <c r="J17" s="75"/>
      <c r="K17" s="15"/>
      <c r="L17" s="15"/>
      <c r="M17" s="16"/>
      <c r="N17" s="7"/>
      <c r="O17" s="72"/>
    </row>
    <row r="18" spans="1:15" s="4" customFormat="1" ht="15" customHeight="1" x14ac:dyDescent="0.35">
      <c r="A18" s="7"/>
      <c r="B18" s="43" t="s">
        <v>4</v>
      </c>
      <c r="C18" s="58" t="s">
        <v>103</v>
      </c>
      <c r="D18" s="185" t="s">
        <v>100</v>
      </c>
      <c r="E18" s="185"/>
      <c r="F18" s="186"/>
      <c r="G18" s="51"/>
      <c r="H18" s="9"/>
      <c r="I18" s="17" t="s">
        <v>25</v>
      </c>
      <c r="J18" s="80">
        <v>-1192</v>
      </c>
      <c r="K18" s="78" t="e">
        <f>+#REF!</f>
        <v>#REF!</v>
      </c>
      <c r="L18" s="78">
        <v>0</v>
      </c>
      <c r="M18" s="19" t="e">
        <f>K18+L18-J18</f>
        <v>#REF!</v>
      </c>
      <c r="N18" s="69" t="e">
        <f>(+K18+L18)/($K$50+$L$50)</f>
        <v>#REF!</v>
      </c>
      <c r="O18" s="7"/>
    </row>
    <row r="19" spans="1:15" s="4" customFormat="1" ht="15" customHeight="1" x14ac:dyDescent="0.35">
      <c r="A19" s="7"/>
      <c r="B19" s="20" t="s">
        <v>7</v>
      </c>
      <c r="C19" s="56"/>
      <c r="D19" s="60">
        <v>12</v>
      </c>
      <c r="E19" s="60">
        <v>3</v>
      </c>
      <c r="F19" s="22"/>
      <c r="G19" s="62"/>
      <c r="H19" s="11"/>
      <c r="I19" s="17" t="s">
        <v>26</v>
      </c>
      <c r="J19" s="80">
        <v>-15026</v>
      </c>
      <c r="K19" s="78" t="e">
        <f>+#REF!</f>
        <v>#REF!</v>
      </c>
      <c r="L19" s="78">
        <v>-11002.04</v>
      </c>
      <c r="M19" s="19" t="e">
        <f t="shared" ref="M19:M30" si="0">K19+L19-J19</f>
        <v>#REF!</v>
      </c>
      <c r="N19" s="69" t="e">
        <f t="shared" ref="N19:N30" si="1">(+K19+L19)/($K$50+$L$50)</f>
        <v>#REF!</v>
      </c>
      <c r="O19" s="7"/>
    </row>
    <row r="20" spans="1:15" s="4" customFormat="1" ht="15" customHeight="1" x14ac:dyDescent="0.35">
      <c r="A20" s="7"/>
      <c r="B20" s="23" t="s">
        <v>95</v>
      </c>
      <c r="C20" s="59">
        <v>100</v>
      </c>
      <c r="D20" s="18">
        <f>+C20*$D$19</f>
        <v>1200</v>
      </c>
      <c r="E20" s="18">
        <f>+C20*$E$19</f>
        <v>300</v>
      </c>
      <c r="F20" s="24">
        <f t="shared" ref="F20:F97" si="2">E20-D20</f>
        <v>-900</v>
      </c>
      <c r="G20" s="63">
        <f>+E20/$E$24</f>
        <v>0.34482758620689657</v>
      </c>
      <c r="H20" s="47"/>
      <c r="I20" s="17" t="s">
        <v>109</v>
      </c>
      <c r="J20" s="80">
        <f>-2454.33-480</f>
        <v>-2934.33</v>
      </c>
      <c r="K20" s="78">
        <v>0</v>
      </c>
      <c r="L20" s="78">
        <v>-261.47000000000003</v>
      </c>
      <c r="M20" s="19">
        <f t="shared" si="0"/>
        <v>2672.8599999999997</v>
      </c>
      <c r="N20" s="69" t="e">
        <f t="shared" si="1"/>
        <v>#REF!</v>
      </c>
      <c r="O20" s="7"/>
    </row>
    <row r="21" spans="1:15" s="4" customFormat="1" ht="15" customHeight="1" x14ac:dyDescent="0.35">
      <c r="A21" s="7"/>
      <c r="B21" s="23" t="s">
        <v>41</v>
      </c>
      <c r="C21" s="59">
        <v>50</v>
      </c>
      <c r="D21" s="18">
        <f t="shared" ref="D21:D23" si="3">+C21*$D$19</f>
        <v>600</v>
      </c>
      <c r="E21" s="18">
        <f t="shared" ref="E21:E23" si="4">+C21*$E$19</f>
        <v>150</v>
      </c>
      <c r="F21" s="24">
        <f t="shared" si="2"/>
        <v>-450</v>
      </c>
      <c r="G21" s="63">
        <f t="shared" ref="G21:G23" si="5">+E21/$E$24</f>
        <v>0.17241379310344829</v>
      </c>
      <c r="H21" s="25"/>
      <c r="I21" s="17" t="s">
        <v>105</v>
      </c>
      <c r="J21" s="80">
        <v>-1100</v>
      </c>
      <c r="K21" s="78" t="e">
        <f>+#REF!</f>
        <v>#REF!</v>
      </c>
      <c r="L21" s="78">
        <v>0</v>
      </c>
      <c r="M21" s="19" t="e">
        <f t="shared" si="0"/>
        <v>#REF!</v>
      </c>
      <c r="N21" s="69" t="e">
        <f t="shared" si="1"/>
        <v>#REF!</v>
      </c>
      <c r="O21" s="7"/>
    </row>
    <row r="22" spans="1:15" s="4" customFormat="1" ht="15" customHeight="1" x14ac:dyDescent="0.35">
      <c r="A22" s="7"/>
      <c r="B22" s="23" t="s">
        <v>42</v>
      </c>
      <c r="C22" s="59">
        <v>100</v>
      </c>
      <c r="D22" s="18">
        <f t="shared" si="3"/>
        <v>1200</v>
      </c>
      <c r="E22" s="18">
        <f t="shared" si="4"/>
        <v>300</v>
      </c>
      <c r="F22" s="24">
        <f t="shared" si="2"/>
        <v>-900</v>
      </c>
      <c r="G22" s="63">
        <f t="shared" si="5"/>
        <v>0.34482758620689657</v>
      </c>
      <c r="H22" s="181"/>
      <c r="I22" s="17" t="s">
        <v>19</v>
      </c>
      <c r="J22" s="80">
        <v>-8268</v>
      </c>
      <c r="K22" s="78" t="e">
        <f>+#REF!</f>
        <v>#REF!</v>
      </c>
      <c r="L22" s="78">
        <v>-1800</v>
      </c>
      <c r="M22" s="19" t="e">
        <f t="shared" si="0"/>
        <v>#REF!</v>
      </c>
      <c r="N22" s="69" t="e">
        <f t="shared" si="1"/>
        <v>#REF!</v>
      </c>
      <c r="O22" s="7"/>
    </row>
    <row r="23" spans="1:15" s="4" customFormat="1" ht="15" customHeight="1" x14ac:dyDescent="0.35">
      <c r="A23" s="7"/>
      <c r="B23" s="23" t="s">
        <v>43</v>
      </c>
      <c r="C23" s="59">
        <v>40</v>
      </c>
      <c r="D23" s="18">
        <f t="shared" si="3"/>
        <v>480</v>
      </c>
      <c r="E23" s="18">
        <f t="shared" si="4"/>
        <v>120</v>
      </c>
      <c r="F23" s="24">
        <f t="shared" si="2"/>
        <v>-360</v>
      </c>
      <c r="G23" s="63">
        <f t="shared" si="5"/>
        <v>0.13793103448275862</v>
      </c>
      <c r="H23" s="182"/>
      <c r="I23" s="17" t="s">
        <v>20</v>
      </c>
      <c r="J23" s="80">
        <v>-4185</v>
      </c>
      <c r="K23" s="78" t="e">
        <f>+#REF!</f>
        <v>#REF!</v>
      </c>
      <c r="L23" s="78">
        <v>-711.93</v>
      </c>
      <c r="M23" s="19" t="e">
        <f t="shared" si="0"/>
        <v>#REF!</v>
      </c>
      <c r="N23" s="69" t="e">
        <f t="shared" si="1"/>
        <v>#REF!</v>
      </c>
      <c r="O23" s="7"/>
    </row>
    <row r="24" spans="1:15" s="4" customFormat="1" ht="15" customHeight="1" x14ac:dyDescent="0.35">
      <c r="A24" s="7"/>
      <c r="B24" s="23"/>
      <c r="C24" s="21"/>
      <c r="D24" s="26">
        <v>3770</v>
      </c>
      <c r="E24" s="26">
        <f>SUM(E20:E23)</f>
        <v>870</v>
      </c>
      <c r="F24" s="24">
        <f t="shared" si="2"/>
        <v>-2900</v>
      </c>
      <c r="G24" s="64" t="e">
        <f>+E24/$E$97</f>
        <v>#REF!</v>
      </c>
      <c r="H24" s="182"/>
      <c r="I24" s="17" t="s">
        <v>21</v>
      </c>
      <c r="J24" s="80">
        <v>-390.76</v>
      </c>
      <c r="K24" s="78" t="e">
        <f>+#REF!</f>
        <v>#REF!</v>
      </c>
      <c r="L24" s="78">
        <v>-7.1099999999999994</v>
      </c>
      <c r="M24" s="19" t="e">
        <f t="shared" si="0"/>
        <v>#REF!</v>
      </c>
      <c r="N24" s="69" t="e">
        <f t="shared" si="1"/>
        <v>#REF!</v>
      </c>
      <c r="O24" s="7"/>
    </row>
    <row r="25" spans="1:15" s="4" customFormat="1" ht="15" customHeight="1" x14ac:dyDescent="0.35">
      <c r="A25" s="7"/>
      <c r="B25" s="20" t="s">
        <v>8</v>
      </c>
      <c r="C25" s="56"/>
      <c r="D25" s="27"/>
      <c r="E25" s="27"/>
      <c r="F25" s="24"/>
      <c r="G25" s="62"/>
      <c r="H25" s="182"/>
      <c r="I25" s="17" t="s">
        <v>27</v>
      </c>
      <c r="J25" s="80">
        <v>-11600</v>
      </c>
      <c r="K25" s="78" t="e">
        <f>+#REF!</f>
        <v>#REF!</v>
      </c>
      <c r="L25" s="78">
        <v>0</v>
      </c>
      <c r="M25" s="19" t="e">
        <f t="shared" si="0"/>
        <v>#REF!</v>
      </c>
      <c r="N25" s="69" t="e">
        <f t="shared" si="1"/>
        <v>#REF!</v>
      </c>
      <c r="O25" s="7"/>
    </row>
    <row r="26" spans="1:15" s="4" customFormat="1" ht="15" customHeight="1" x14ac:dyDescent="0.35">
      <c r="A26" s="7"/>
      <c r="B26" s="23" t="s">
        <v>44</v>
      </c>
      <c r="C26" s="59">
        <v>150</v>
      </c>
      <c r="D26" s="18">
        <f t="shared" ref="D26:D29" si="6">+C26*$D$19</f>
        <v>1800</v>
      </c>
      <c r="E26" s="18">
        <f>+C26*$E$19</f>
        <v>450</v>
      </c>
      <c r="F26" s="24">
        <f t="shared" ref="F26:F30" si="7">E26-D26</f>
        <v>-1350</v>
      </c>
      <c r="G26" s="63">
        <f>+E26/$E$30</f>
        <v>0.2</v>
      </c>
      <c r="H26" s="182"/>
      <c r="I26" s="17" t="s">
        <v>39</v>
      </c>
      <c r="J26" s="80">
        <f>(-D88+D86)*0.3333333</f>
        <v>-40148.3293185</v>
      </c>
      <c r="K26" s="78" t="e">
        <f>+#REF!</f>
        <v>#REF!</v>
      </c>
      <c r="L26" s="78">
        <v>-8104.5</v>
      </c>
      <c r="M26" s="19" t="e">
        <f t="shared" si="0"/>
        <v>#REF!</v>
      </c>
      <c r="N26" s="69" t="e">
        <f t="shared" si="1"/>
        <v>#REF!</v>
      </c>
      <c r="O26" s="7"/>
    </row>
    <row r="27" spans="1:15" s="4" customFormat="1" ht="15" customHeight="1" x14ac:dyDescent="0.35">
      <c r="A27" s="7"/>
      <c r="B27" s="23" t="s">
        <v>45</v>
      </c>
      <c r="C27" s="59">
        <v>200</v>
      </c>
      <c r="D27" s="18">
        <f t="shared" si="6"/>
        <v>2400</v>
      </c>
      <c r="E27" s="18">
        <f t="shared" ref="E27:E29" si="8">+C27*$E$19</f>
        <v>600</v>
      </c>
      <c r="F27" s="24">
        <f t="shared" si="7"/>
        <v>-1800</v>
      </c>
      <c r="G27" s="63">
        <f t="shared" ref="G27:G29" si="9">+E27/$E$30</f>
        <v>0.26666666666666666</v>
      </c>
      <c r="H27" s="182"/>
      <c r="I27" s="17" t="s">
        <v>24</v>
      </c>
      <c r="J27" s="80">
        <v>-9754.5499999999993</v>
      </c>
      <c r="K27" s="78" t="e">
        <f>+#REF!</f>
        <v>#REF!</v>
      </c>
      <c r="L27" s="78">
        <v>0</v>
      </c>
      <c r="M27" s="19" t="e">
        <f t="shared" si="0"/>
        <v>#REF!</v>
      </c>
      <c r="N27" s="69" t="e">
        <f t="shared" si="1"/>
        <v>#REF!</v>
      </c>
      <c r="O27" s="7"/>
    </row>
    <row r="28" spans="1:15" s="4" customFormat="1" ht="15" customHeight="1" x14ac:dyDescent="0.35">
      <c r="A28" s="7"/>
      <c r="B28" s="23" t="s">
        <v>46</v>
      </c>
      <c r="C28" s="59">
        <v>100</v>
      </c>
      <c r="D28" s="18">
        <f t="shared" si="6"/>
        <v>1200</v>
      </c>
      <c r="E28" s="18">
        <f t="shared" si="8"/>
        <v>300</v>
      </c>
      <c r="F28" s="24">
        <f t="shared" si="7"/>
        <v>-900</v>
      </c>
      <c r="G28" s="63">
        <f t="shared" si="9"/>
        <v>0.13333333333333333</v>
      </c>
      <c r="H28" s="182"/>
      <c r="I28" s="17" t="s">
        <v>23</v>
      </c>
      <c r="J28" s="80">
        <f>-5679-4699</f>
        <v>-10378</v>
      </c>
      <c r="K28" s="78" t="e">
        <f>+#REF!</f>
        <v>#REF!</v>
      </c>
      <c r="L28" s="78">
        <v>0</v>
      </c>
      <c r="M28" s="19" t="e">
        <f t="shared" si="0"/>
        <v>#REF!</v>
      </c>
      <c r="N28" s="69" t="e">
        <f t="shared" si="1"/>
        <v>#REF!</v>
      </c>
      <c r="O28" s="7"/>
    </row>
    <row r="29" spans="1:15" s="4" customFormat="1" ht="15" customHeight="1" x14ac:dyDescent="0.35">
      <c r="A29" s="7"/>
      <c r="B29" s="23" t="s">
        <v>47</v>
      </c>
      <c r="C29" s="59">
        <v>300</v>
      </c>
      <c r="D29" s="18">
        <f t="shared" si="6"/>
        <v>3600</v>
      </c>
      <c r="E29" s="18">
        <f t="shared" si="8"/>
        <v>900</v>
      </c>
      <c r="F29" s="24">
        <f t="shared" si="7"/>
        <v>-2700</v>
      </c>
      <c r="G29" s="63">
        <f t="shared" si="9"/>
        <v>0.4</v>
      </c>
      <c r="H29" s="182"/>
      <c r="I29" s="17" t="s">
        <v>88</v>
      </c>
      <c r="J29" s="80">
        <v>-4400</v>
      </c>
      <c r="K29" s="78" t="e">
        <f>+#REF!</f>
        <v>#REF!</v>
      </c>
      <c r="L29" s="78">
        <v>-7070.82</v>
      </c>
      <c r="M29" s="19" t="e">
        <f t="shared" si="0"/>
        <v>#REF!</v>
      </c>
      <c r="N29" s="69" t="e">
        <f t="shared" si="1"/>
        <v>#REF!</v>
      </c>
      <c r="O29" s="7"/>
    </row>
    <row r="30" spans="1:15" s="4" customFormat="1" ht="15" customHeight="1" x14ac:dyDescent="0.35">
      <c r="A30" s="7"/>
      <c r="B30" s="23"/>
      <c r="C30" s="21"/>
      <c r="D30" s="26">
        <v>9750</v>
      </c>
      <c r="E30" s="26">
        <f>SUM(E26:E29)</f>
        <v>2250</v>
      </c>
      <c r="F30" s="24">
        <f t="shared" si="7"/>
        <v>-7500</v>
      </c>
      <c r="G30" s="64" t="e">
        <f>+E30/$E$97</f>
        <v>#REF!</v>
      </c>
      <c r="H30" s="182"/>
      <c r="I30" s="17"/>
      <c r="J30" s="30">
        <f>SUM(J18:J29)</f>
        <v>-109376.96931850001</v>
      </c>
      <c r="K30" s="30" t="e">
        <f>SUM(K18:K29)</f>
        <v>#REF!</v>
      </c>
      <c r="L30" s="30">
        <f>SUM(L18:L29)</f>
        <v>-28957.870000000003</v>
      </c>
      <c r="M30" s="19" t="e">
        <f t="shared" si="0"/>
        <v>#REF!</v>
      </c>
      <c r="N30" s="79" t="e">
        <f t="shared" si="1"/>
        <v>#REF!</v>
      </c>
      <c r="O30" s="7"/>
    </row>
    <row r="31" spans="1:15" s="4" customFormat="1" ht="15" customHeight="1" x14ac:dyDescent="0.35">
      <c r="A31" s="7"/>
      <c r="B31" s="20" t="s">
        <v>9</v>
      </c>
      <c r="C31" s="56"/>
      <c r="D31" s="27"/>
      <c r="E31" s="27"/>
      <c r="F31" s="24"/>
      <c r="G31" s="62"/>
      <c r="H31" s="9"/>
      <c r="I31" s="40" t="s">
        <v>90</v>
      </c>
      <c r="J31" s="31"/>
      <c r="K31" s="31"/>
      <c r="L31" s="31"/>
      <c r="M31" s="19"/>
      <c r="N31" s="68"/>
      <c r="O31" s="7"/>
    </row>
    <row r="32" spans="1:15" s="4" customFormat="1" ht="15" customHeight="1" x14ac:dyDescent="0.35">
      <c r="A32" s="7"/>
      <c r="B32" s="23" t="s">
        <v>48</v>
      </c>
      <c r="C32" s="59">
        <v>150</v>
      </c>
      <c r="D32" s="18">
        <f t="shared" ref="D32:D35" si="10">+C32*$D$19</f>
        <v>1800</v>
      </c>
      <c r="E32" s="18">
        <f t="shared" ref="E32:E35" si="11">+C32*$E$19</f>
        <v>450</v>
      </c>
      <c r="F32" s="24">
        <f t="shared" ref="F32:F36" si="12">E32-D32</f>
        <v>-1350</v>
      </c>
      <c r="G32" s="63">
        <f>+E32/$E$36</f>
        <v>0.44117647058823528</v>
      </c>
      <c r="H32" s="9"/>
      <c r="I32" s="14" t="s">
        <v>28</v>
      </c>
      <c r="J32" s="31"/>
      <c r="K32" s="31"/>
      <c r="L32" s="31"/>
      <c r="M32" s="19"/>
      <c r="O32" s="7"/>
    </row>
    <row r="33" spans="1:15" s="4" customFormat="1" ht="15" customHeight="1" x14ac:dyDescent="0.35">
      <c r="A33" s="7"/>
      <c r="B33" s="23" t="s">
        <v>49</v>
      </c>
      <c r="C33" s="59">
        <v>50</v>
      </c>
      <c r="D33" s="18">
        <f t="shared" si="10"/>
        <v>600</v>
      </c>
      <c r="E33" s="18">
        <f t="shared" si="11"/>
        <v>150</v>
      </c>
      <c r="F33" s="24">
        <f t="shared" si="12"/>
        <v>-450</v>
      </c>
      <c r="G33" s="63">
        <f t="shared" ref="G33:G35" si="13">+E33/$E$36</f>
        <v>0.14705882352941177</v>
      </c>
      <c r="H33" s="29"/>
      <c r="I33" s="17" t="s">
        <v>29</v>
      </c>
      <c r="J33" s="81">
        <v>0</v>
      </c>
      <c r="K33" s="18" t="e">
        <f>+#REF!</f>
        <v>#REF!</v>
      </c>
      <c r="L33" s="18">
        <v>-10266.23</v>
      </c>
      <c r="M33" s="19" t="e">
        <f t="shared" ref="M33:M48" si="14">K33+L33-J33</f>
        <v>#REF!</v>
      </c>
      <c r="N33" s="63" t="e">
        <f t="shared" ref="N33:N48" si="15">(+K33+L33)/($K$50+$L$50)</f>
        <v>#REF!</v>
      </c>
      <c r="O33" s="7"/>
    </row>
    <row r="34" spans="1:15" s="4" customFormat="1" ht="15" customHeight="1" x14ac:dyDescent="0.35">
      <c r="A34" s="7"/>
      <c r="B34" s="23" t="s">
        <v>50</v>
      </c>
      <c r="C34" s="59">
        <v>50</v>
      </c>
      <c r="D34" s="18">
        <f t="shared" si="10"/>
        <v>600</v>
      </c>
      <c r="E34" s="18">
        <f t="shared" si="11"/>
        <v>150</v>
      </c>
      <c r="F34" s="24">
        <f t="shared" si="12"/>
        <v>-450</v>
      </c>
      <c r="G34" s="63">
        <f t="shared" si="13"/>
        <v>0.14705882352941177</v>
      </c>
      <c r="H34" s="181"/>
      <c r="I34" s="17" t="s">
        <v>31</v>
      </c>
      <c r="J34" s="81">
        <v>0</v>
      </c>
      <c r="K34" s="18" t="e">
        <f>+#REF!</f>
        <v>#REF!</v>
      </c>
      <c r="L34" s="18">
        <v>0</v>
      </c>
      <c r="M34" s="19" t="e">
        <f t="shared" si="14"/>
        <v>#REF!</v>
      </c>
      <c r="N34" s="63" t="e">
        <f t="shared" si="15"/>
        <v>#REF!</v>
      </c>
      <c r="O34" s="7"/>
    </row>
    <row r="35" spans="1:15" s="4" customFormat="1" ht="15" customHeight="1" x14ac:dyDescent="0.35">
      <c r="A35" s="7"/>
      <c r="B35" s="23" t="s">
        <v>51</v>
      </c>
      <c r="C35" s="59">
        <v>90</v>
      </c>
      <c r="D35" s="18">
        <f t="shared" si="10"/>
        <v>1080</v>
      </c>
      <c r="E35" s="18">
        <f t="shared" si="11"/>
        <v>270</v>
      </c>
      <c r="F35" s="24">
        <f t="shared" si="12"/>
        <v>-810</v>
      </c>
      <c r="G35" s="63">
        <f t="shared" si="13"/>
        <v>0.26470588235294118</v>
      </c>
      <c r="H35" s="182"/>
      <c r="I35" s="17" t="s">
        <v>37</v>
      </c>
      <c r="J35" s="81">
        <v>0</v>
      </c>
      <c r="K35" s="18" t="e">
        <f>+#REF!</f>
        <v>#REF!</v>
      </c>
      <c r="L35" s="18">
        <v>0</v>
      </c>
      <c r="M35" s="19" t="e">
        <f t="shared" si="14"/>
        <v>#REF!</v>
      </c>
      <c r="N35" s="63" t="e">
        <f t="shared" si="15"/>
        <v>#REF!</v>
      </c>
      <c r="O35" s="7"/>
    </row>
    <row r="36" spans="1:15" s="4" customFormat="1" ht="15" customHeight="1" x14ac:dyDescent="0.35">
      <c r="A36" s="7"/>
      <c r="B36" s="23"/>
      <c r="C36" s="59"/>
      <c r="D36" s="26">
        <v>5070</v>
      </c>
      <c r="E36" s="26">
        <f>SUM(E32:E35)</f>
        <v>1020</v>
      </c>
      <c r="F36" s="24">
        <f t="shared" si="12"/>
        <v>-4050</v>
      </c>
      <c r="G36" s="64" t="e">
        <f>+E36/$E$97</f>
        <v>#REF!</v>
      </c>
      <c r="H36" s="182"/>
      <c r="I36" s="17" t="s">
        <v>30</v>
      </c>
      <c r="J36" s="81">
        <v>-12000</v>
      </c>
      <c r="K36" s="18" t="e">
        <f>+#REF!</f>
        <v>#REF!</v>
      </c>
      <c r="L36" s="18">
        <v>0</v>
      </c>
      <c r="M36" s="19" t="e">
        <f t="shared" si="14"/>
        <v>#REF!</v>
      </c>
      <c r="N36" s="63" t="e">
        <f t="shared" si="15"/>
        <v>#REF!</v>
      </c>
      <c r="O36" s="7"/>
    </row>
    <row r="37" spans="1:15" s="4" customFormat="1" ht="15" customHeight="1" x14ac:dyDescent="0.35">
      <c r="A37" s="7"/>
      <c r="B37" s="20" t="s">
        <v>10</v>
      </c>
      <c r="C37" s="59"/>
      <c r="D37" s="27"/>
      <c r="E37" s="27"/>
      <c r="F37" s="24"/>
      <c r="G37" s="62"/>
      <c r="H37" s="182"/>
      <c r="I37" s="17" t="s">
        <v>108</v>
      </c>
      <c r="J37" s="81">
        <v>-2362</v>
      </c>
      <c r="K37" s="18" t="e">
        <f>+#REF!</f>
        <v>#REF!</v>
      </c>
      <c r="L37" s="18">
        <v>-3607.5</v>
      </c>
      <c r="M37" s="19" t="e">
        <f t="shared" si="14"/>
        <v>#REF!</v>
      </c>
      <c r="N37" s="63" t="e">
        <f t="shared" si="15"/>
        <v>#REF!</v>
      </c>
      <c r="O37" s="7"/>
    </row>
    <row r="38" spans="1:15" s="4" customFormat="1" ht="15" customHeight="1" x14ac:dyDescent="0.35">
      <c r="A38" s="7"/>
      <c r="B38" s="23" t="s">
        <v>52</v>
      </c>
      <c r="C38" s="59">
        <v>250</v>
      </c>
      <c r="D38" s="18">
        <f t="shared" ref="D38:D41" si="16">+C38*$D$19</f>
        <v>3000</v>
      </c>
      <c r="E38" s="18">
        <f>+C38*$E$19</f>
        <v>750</v>
      </c>
      <c r="F38" s="24">
        <f t="shared" ref="F38:F42" si="17">E38-D38</f>
        <v>-2250</v>
      </c>
      <c r="G38" s="63">
        <f>+E38/$E$42</f>
        <v>0.41666666666666669</v>
      </c>
      <c r="H38" s="182"/>
      <c r="I38" s="17"/>
      <c r="J38" s="30">
        <f>SUM(J33:J37)</f>
        <v>-14362</v>
      </c>
      <c r="K38" s="30" t="e">
        <f>SUM(K33:K37)</f>
        <v>#REF!</v>
      </c>
      <c r="L38" s="30">
        <f>SUM(L33:L37)</f>
        <v>-13873.73</v>
      </c>
      <c r="M38" s="19" t="e">
        <f t="shared" si="14"/>
        <v>#REF!</v>
      </c>
      <c r="N38" s="69" t="e">
        <f t="shared" si="15"/>
        <v>#REF!</v>
      </c>
      <c r="O38" s="7"/>
    </row>
    <row r="39" spans="1:15" s="4" customFormat="1" ht="15" customHeight="1" x14ac:dyDescent="0.35">
      <c r="A39" s="7"/>
      <c r="B39" s="23" t="s">
        <v>53</v>
      </c>
      <c r="C39" s="59">
        <v>180</v>
      </c>
      <c r="D39" s="18">
        <f t="shared" si="16"/>
        <v>2160</v>
      </c>
      <c r="E39" s="18">
        <f t="shared" ref="E39:E41" si="18">+C39*$E$19</f>
        <v>540</v>
      </c>
      <c r="F39" s="24">
        <f t="shared" si="17"/>
        <v>-1620</v>
      </c>
      <c r="G39" s="63">
        <f t="shared" ref="G39:G41" si="19">+E39/$E$42</f>
        <v>0.3</v>
      </c>
      <c r="H39" s="182"/>
      <c r="I39" s="14" t="s">
        <v>32</v>
      </c>
      <c r="J39" s="28"/>
      <c r="K39" s="28"/>
      <c r="L39" s="28"/>
      <c r="M39" s="19"/>
      <c r="N39" s="68"/>
      <c r="O39" s="7"/>
    </row>
    <row r="40" spans="1:15" s="4" customFormat="1" ht="15" customHeight="1" x14ac:dyDescent="0.35">
      <c r="A40" s="7"/>
      <c r="B40" s="23" t="s">
        <v>54</v>
      </c>
      <c r="C40" s="59">
        <v>100</v>
      </c>
      <c r="D40" s="18">
        <f t="shared" si="16"/>
        <v>1200</v>
      </c>
      <c r="E40" s="18">
        <f t="shared" si="18"/>
        <v>300</v>
      </c>
      <c r="F40" s="24">
        <f t="shared" si="17"/>
        <v>-900</v>
      </c>
      <c r="G40" s="63">
        <f t="shared" si="19"/>
        <v>0.16666666666666666</v>
      </c>
      <c r="H40" s="182"/>
      <c r="I40" s="17" t="s">
        <v>33</v>
      </c>
      <c r="J40" s="81">
        <v>-2666.6666666666702</v>
      </c>
      <c r="K40" s="18" t="e">
        <f>+#REF!</f>
        <v>#REF!</v>
      </c>
      <c r="L40" s="18">
        <v>0</v>
      </c>
      <c r="M40" s="19" t="e">
        <f t="shared" si="14"/>
        <v>#REF!</v>
      </c>
      <c r="N40" s="63" t="e">
        <f t="shared" si="15"/>
        <v>#REF!</v>
      </c>
      <c r="O40" s="7"/>
    </row>
    <row r="41" spans="1:15" s="4" customFormat="1" ht="15" customHeight="1" x14ac:dyDescent="0.35">
      <c r="A41" s="7"/>
      <c r="B41" s="23" t="s">
        <v>55</v>
      </c>
      <c r="C41" s="59">
        <v>70</v>
      </c>
      <c r="D41" s="18">
        <f t="shared" si="16"/>
        <v>840</v>
      </c>
      <c r="E41" s="18">
        <f t="shared" si="18"/>
        <v>210</v>
      </c>
      <c r="F41" s="24">
        <f t="shared" si="17"/>
        <v>-630</v>
      </c>
      <c r="G41" s="63">
        <f t="shared" si="19"/>
        <v>0.11666666666666667</v>
      </c>
      <c r="H41" s="182"/>
      <c r="I41" s="17" t="s">
        <v>34</v>
      </c>
      <c r="J41" s="81">
        <v>-2666.6666666666702</v>
      </c>
      <c r="K41" s="18" t="e">
        <f>+#REF!</f>
        <v>#REF!</v>
      </c>
      <c r="L41" s="18">
        <v>-2825</v>
      </c>
      <c r="M41" s="19" t="e">
        <f t="shared" si="14"/>
        <v>#REF!</v>
      </c>
      <c r="N41" s="63" t="e">
        <f t="shared" si="15"/>
        <v>#REF!</v>
      </c>
      <c r="O41" s="7"/>
    </row>
    <row r="42" spans="1:15" s="4" customFormat="1" ht="15" customHeight="1" x14ac:dyDescent="0.35">
      <c r="A42" s="7"/>
      <c r="B42" s="23"/>
      <c r="C42" s="59"/>
      <c r="D42" s="26">
        <v>7800</v>
      </c>
      <c r="E42" s="26">
        <f>SUM(E38:E41)</f>
        <v>1800</v>
      </c>
      <c r="F42" s="24">
        <f t="shared" si="17"/>
        <v>-6000</v>
      </c>
      <c r="G42" s="64" t="e">
        <f>+E42/$E$97</f>
        <v>#REF!</v>
      </c>
      <c r="H42" s="182"/>
      <c r="I42" s="17" t="s">
        <v>35</v>
      </c>
      <c r="J42" s="81">
        <v>-2666.6666666666702</v>
      </c>
      <c r="K42" s="18" t="e">
        <f>+#REF!</f>
        <v>#REF!</v>
      </c>
      <c r="L42" s="18">
        <v>0</v>
      </c>
      <c r="M42" s="19" t="e">
        <f t="shared" si="14"/>
        <v>#REF!</v>
      </c>
      <c r="N42" s="63" t="e">
        <f t="shared" si="15"/>
        <v>#REF!</v>
      </c>
      <c r="O42" s="7"/>
    </row>
    <row r="43" spans="1:15" s="4" customFormat="1" ht="15" customHeight="1" x14ac:dyDescent="0.35">
      <c r="A43" s="7"/>
      <c r="B43" s="20" t="s">
        <v>11</v>
      </c>
      <c r="C43" s="59"/>
      <c r="D43" s="27"/>
      <c r="E43" s="27"/>
      <c r="F43" s="24"/>
      <c r="G43" s="62"/>
      <c r="H43" s="182"/>
      <c r="I43" s="17"/>
      <c r="J43" s="30">
        <f>SUM(J40:J42)</f>
        <v>-8000.0000000000109</v>
      </c>
      <c r="K43" s="30" t="e">
        <f>SUM(K40:K42)</f>
        <v>#REF!</v>
      </c>
      <c r="L43" s="30">
        <f>SUM(L40:L42)</f>
        <v>-2825</v>
      </c>
      <c r="M43" s="19" t="e">
        <f t="shared" si="14"/>
        <v>#REF!</v>
      </c>
      <c r="N43" s="69" t="e">
        <f t="shared" si="15"/>
        <v>#REF!</v>
      </c>
      <c r="O43" s="7"/>
    </row>
    <row r="44" spans="1:15" s="4" customFormat="1" ht="15" customHeight="1" x14ac:dyDescent="0.35">
      <c r="A44" s="7"/>
      <c r="B44" s="23" t="s">
        <v>94</v>
      </c>
      <c r="C44" s="59">
        <v>150</v>
      </c>
      <c r="D44" s="18">
        <f t="shared" ref="D44:D62" si="20">+C44*$D$19</f>
        <v>1800</v>
      </c>
      <c r="E44" s="18">
        <f t="shared" ref="E44:E61" si="21">+C44*$E$19</f>
        <v>450</v>
      </c>
      <c r="F44" s="24">
        <f t="shared" ref="F44:F47" si="22">E44-D44</f>
        <v>-1350</v>
      </c>
      <c r="G44" s="63">
        <f>+E44/$E$63</f>
        <v>3.0643513789581207E-2</v>
      </c>
      <c r="H44" s="182"/>
      <c r="I44" s="14" t="s">
        <v>36</v>
      </c>
      <c r="J44" s="28"/>
      <c r="K44" s="28"/>
      <c r="L44" s="28"/>
      <c r="M44" s="19"/>
      <c r="N44" s="68"/>
      <c r="O44" s="7"/>
    </row>
    <row r="45" spans="1:15" s="4" customFormat="1" ht="15" customHeight="1" x14ac:dyDescent="0.35">
      <c r="A45" s="7"/>
      <c r="B45" s="23" t="s">
        <v>56</v>
      </c>
      <c r="C45" s="59">
        <v>200</v>
      </c>
      <c r="D45" s="18">
        <f t="shared" si="20"/>
        <v>2400</v>
      </c>
      <c r="E45" s="18">
        <f t="shared" si="21"/>
        <v>600</v>
      </c>
      <c r="F45" s="24">
        <f t="shared" si="22"/>
        <v>-1800</v>
      </c>
      <c r="G45" s="63">
        <f t="shared" ref="G45:G62" si="23">+E45/$E$63</f>
        <v>4.0858018386108273E-2</v>
      </c>
      <c r="H45" s="182"/>
      <c r="I45" s="17" t="s">
        <v>38</v>
      </c>
      <c r="J45" s="81">
        <v>-24520</v>
      </c>
      <c r="K45" s="18" t="e">
        <f>+#REF!</f>
        <v>#REF!</v>
      </c>
      <c r="L45" s="18">
        <v>-10000</v>
      </c>
      <c r="M45" s="19" t="e">
        <f t="shared" si="14"/>
        <v>#REF!</v>
      </c>
      <c r="N45" s="63" t="e">
        <f t="shared" si="15"/>
        <v>#REF!</v>
      </c>
      <c r="O45" s="7"/>
    </row>
    <row r="46" spans="1:15" s="4" customFormat="1" ht="15" customHeight="1" x14ac:dyDescent="0.35">
      <c r="A46" s="7"/>
      <c r="B46" s="23" t="s">
        <v>57</v>
      </c>
      <c r="C46" s="59">
        <v>250</v>
      </c>
      <c r="D46" s="18">
        <f t="shared" si="20"/>
        <v>3000</v>
      </c>
      <c r="E46" s="18">
        <f t="shared" si="21"/>
        <v>750</v>
      </c>
      <c r="F46" s="24">
        <f t="shared" si="22"/>
        <v>-2250</v>
      </c>
      <c r="G46" s="63">
        <f t="shared" si="23"/>
        <v>5.1072522982635343E-2</v>
      </c>
      <c r="H46" s="182"/>
      <c r="I46" s="17" t="s">
        <v>40</v>
      </c>
      <c r="J46" s="81">
        <v>0</v>
      </c>
      <c r="K46" s="18" t="e">
        <f>+#REF!</f>
        <v>#REF!</v>
      </c>
      <c r="L46" s="18">
        <v>0</v>
      </c>
      <c r="M46" s="19" t="e">
        <f t="shared" si="14"/>
        <v>#REF!</v>
      </c>
      <c r="N46" s="63" t="e">
        <f t="shared" si="15"/>
        <v>#REF!</v>
      </c>
      <c r="O46" s="7"/>
    </row>
    <row r="47" spans="1:15" s="4" customFormat="1" ht="15" customHeight="1" x14ac:dyDescent="0.35">
      <c r="A47" s="7"/>
      <c r="B47" s="23" t="s">
        <v>58</v>
      </c>
      <c r="C47" s="59">
        <v>150</v>
      </c>
      <c r="D47" s="18">
        <f t="shared" si="20"/>
        <v>1800</v>
      </c>
      <c r="E47" s="18">
        <f t="shared" si="21"/>
        <v>450</v>
      </c>
      <c r="F47" s="24">
        <f t="shared" si="22"/>
        <v>-1350</v>
      </c>
      <c r="G47" s="63">
        <f t="shared" si="23"/>
        <v>3.0643513789581207E-2</v>
      </c>
      <c r="H47" s="182"/>
      <c r="I47" s="17" t="s">
        <v>89</v>
      </c>
      <c r="J47" s="81">
        <v>0</v>
      </c>
      <c r="K47" s="18" t="e">
        <f>+#REF!</f>
        <v>#REF!</v>
      </c>
      <c r="L47" s="18">
        <v>0</v>
      </c>
      <c r="M47" s="19" t="e">
        <f t="shared" si="14"/>
        <v>#REF!</v>
      </c>
      <c r="N47" s="63" t="e">
        <f t="shared" si="15"/>
        <v>#REF!</v>
      </c>
      <c r="O47" s="7"/>
    </row>
    <row r="48" spans="1:15" s="4" customFormat="1" ht="15" customHeight="1" x14ac:dyDescent="0.35">
      <c r="A48" s="7"/>
      <c r="B48" s="23" t="s">
        <v>59</v>
      </c>
      <c r="C48" s="59">
        <v>100</v>
      </c>
      <c r="D48" s="18">
        <f t="shared" si="20"/>
        <v>1200</v>
      </c>
      <c r="E48" s="18">
        <f t="shared" si="21"/>
        <v>300</v>
      </c>
      <c r="F48" s="24">
        <f t="shared" ref="F48:F55" si="24">E48-D48</f>
        <v>-900</v>
      </c>
      <c r="G48" s="63">
        <f t="shared" si="23"/>
        <v>2.0429009193054137E-2</v>
      </c>
      <c r="H48" s="32"/>
      <c r="I48" s="17"/>
      <c r="J48" s="30">
        <f>SUM(J45:J47)</f>
        <v>-24520</v>
      </c>
      <c r="K48" s="30" t="e">
        <f>SUM(K45:K47)</f>
        <v>#REF!</v>
      </c>
      <c r="L48" s="30">
        <f>SUM(L45:L47)</f>
        <v>-10000</v>
      </c>
      <c r="M48" s="19" t="e">
        <f t="shared" si="14"/>
        <v>#REF!</v>
      </c>
      <c r="N48" s="69" t="e">
        <f t="shared" si="15"/>
        <v>#REF!</v>
      </c>
      <c r="O48" s="7"/>
    </row>
    <row r="49" spans="1:15" s="4" customFormat="1" ht="15" customHeight="1" x14ac:dyDescent="0.35">
      <c r="A49" s="7"/>
      <c r="B49" s="23" t="s">
        <v>60</v>
      </c>
      <c r="C49" s="59">
        <v>120</v>
      </c>
      <c r="D49" s="18">
        <f t="shared" si="20"/>
        <v>1440</v>
      </c>
      <c r="E49" s="18">
        <f t="shared" si="21"/>
        <v>360</v>
      </c>
      <c r="F49" s="24">
        <f t="shared" si="24"/>
        <v>-1080</v>
      </c>
      <c r="G49" s="63">
        <f t="shared" si="23"/>
        <v>2.4514811031664963E-2</v>
      </c>
      <c r="H49" s="181"/>
      <c r="I49" s="14"/>
      <c r="J49" s="28"/>
      <c r="K49" s="28"/>
      <c r="L49" s="28"/>
      <c r="M49" s="19"/>
      <c r="N49" s="53"/>
      <c r="O49" s="7"/>
    </row>
    <row r="50" spans="1:15" s="4" customFormat="1" ht="15" customHeight="1" x14ac:dyDescent="0.35">
      <c r="A50" s="7"/>
      <c r="B50" s="23" t="s">
        <v>61</v>
      </c>
      <c r="C50" s="59">
        <v>260</v>
      </c>
      <c r="D50" s="18">
        <f t="shared" si="20"/>
        <v>3120</v>
      </c>
      <c r="E50" s="18">
        <f t="shared" si="21"/>
        <v>780</v>
      </c>
      <c r="F50" s="24">
        <f t="shared" si="24"/>
        <v>-2340</v>
      </c>
      <c r="G50" s="63">
        <f t="shared" si="23"/>
        <v>5.3115423901940753E-2</v>
      </c>
      <c r="H50" s="182"/>
      <c r="I50" s="45" t="s">
        <v>101</v>
      </c>
      <c r="J50" s="33">
        <f>J48+J43+J38+J30</f>
        <v>-156258.96931850002</v>
      </c>
      <c r="K50" s="33" t="e">
        <f>K48+K43+K38+K30</f>
        <v>#REF!</v>
      </c>
      <c r="L50" s="33">
        <f>L48+L43+L38+L30</f>
        <v>-55656.600000000006</v>
      </c>
      <c r="M50" s="34" t="e">
        <f>K50+L50-J50</f>
        <v>#REF!</v>
      </c>
      <c r="N50" s="53"/>
      <c r="O50" s="7"/>
    </row>
    <row r="51" spans="1:15" s="4" customFormat="1" ht="15" customHeight="1" x14ac:dyDescent="0.35">
      <c r="A51" s="7"/>
      <c r="B51" s="23" t="s">
        <v>62</v>
      </c>
      <c r="C51" s="59">
        <v>1000</v>
      </c>
      <c r="D51" s="18">
        <f t="shared" si="20"/>
        <v>12000</v>
      </c>
      <c r="E51" s="18">
        <f t="shared" si="21"/>
        <v>3000</v>
      </c>
      <c r="F51" s="24">
        <f t="shared" si="24"/>
        <v>-9000</v>
      </c>
      <c r="G51" s="63">
        <f t="shared" si="23"/>
        <v>0.20429009193054137</v>
      </c>
      <c r="H51" s="182"/>
      <c r="I51" s="38"/>
      <c r="J51" s="38"/>
      <c r="K51" s="38"/>
      <c r="L51" s="38"/>
      <c r="M51" s="38"/>
      <c r="N51" s="7"/>
    </row>
    <row r="52" spans="1:15" s="4" customFormat="1" ht="15" customHeight="1" x14ac:dyDescent="0.35">
      <c r="A52" s="7"/>
      <c r="B52" s="23" t="s">
        <v>63</v>
      </c>
      <c r="C52" s="59">
        <v>175</v>
      </c>
      <c r="D52" s="18">
        <f t="shared" si="20"/>
        <v>2100</v>
      </c>
      <c r="E52" s="18">
        <f t="shared" si="21"/>
        <v>525</v>
      </c>
      <c r="F52" s="24">
        <f t="shared" si="24"/>
        <v>-1575</v>
      </c>
      <c r="G52" s="63">
        <f t="shared" si="23"/>
        <v>3.5750766087844742E-2</v>
      </c>
      <c r="H52" s="182"/>
      <c r="I52" s="38"/>
      <c r="J52" s="38"/>
      <c r="K52" s="38"/>
      <c r="L52" s="38"/>
      <c r="M52" s="38"/>
      <c r="N52" s="7"/>
    </row>
    <row r="53" spans="1:15" s="4" customFormat="1" ht="15" customHeight="1" x14ac:dyDescent="0.35">
      <c r="A53" s="7"/>
      <c r="B53" s="23" t="s">
        <v>64</v>
      </c>
      <c r="C53" s="59">
        <v>500</v>
      </c>
      <c r="D53" s="18">
        <f t="shared" si="20"/>
        <v>6000</v>
      </c>
      <c r="E53" s="18">
        <f t="shared" si="21"/>
        <v>1500</v>
      </c>
      <c r="F53" s="24">
        <f t="shared" si="24"/>
        <v>-4500</v>
      </c>
      <c r="G53" s="63">
        <f t="shared" si="23"/>
        <v>0.10214504596527069</v>
      </c>
      <c r="H53" s="32"/>
      <c r="I53" s="38"/>
      <c r="J53" s="38"/>
      <c r="K53" s="38"/>
      <c r="L53" s="38"/>
      <c r="M53" s="38"/>
      <c r="N53" s="7"/>
    </row>
    <row r="54" spans="1:15" s="4" customFormat="1" ht="15" customHeight="1" x14ac:dyDescent="0.35">
      <c r="A54" s="7"/>
      <c r="B54" s="23" t="s">
        <v>65</v>
      </c>
      <c r="C54" s="59">
        <v>30</v>
      </c>
      <c r="D54" s="18">
        <f t="shared" si="20"/>
        <v>360</v>
      </c>
      <c r="E54" s="18">
        <f t="shared" si="21"/>
        <v>90</v>
      </c>
      <c r="F54" s="24">
        <f t="shared" si="24"/>
        <v>-270</v>
      </c>
      <c r="G54" s="63">
        <f t="shared" si="23"/>
        <v>6.1287027579162408E-3</v>
      </c>
      <c r="H54" s="181"/>
      <c r="I54" s="38"/>
      <c r="J54" s="38"/>
      <c r="K54" s="38"/>
      <c r="L54" s="38"/>
      <c r="M54" s="38"/>
      <c r="N54" s="7"/>
    </row>
    <row r="55" spans="1:15" s="4" customFormat="1" ht="15" customHeight="1" x14ac:dyDescent="0.35">
      <c r="A55" s="7"/>
      <c r="B55" s="23" t="s">
        <v>66</v>
      </c>
      <c r="C55" s="59">
        <v>300</v>
      </c>
      <c r="D55" s="18">
        <f t="shared" si="20"/>
        <v>3600</v>
      </c>
      <c r="E55" s="18">
        <f t="shared" si="21"/>
        <v>900</v>
      </c>
      <c r="F55" s="24">
        <f t="shared" si="24"/>
        <v>-2700</v>
      </c>
      <c r="G55" s="63">
        <f t="shared" si="23"/>
        <v>6.1287027579162413E-2</v>
      </c>
      <c r="H55" s="182"/>
      <c r="I55" s="38"/>
      <c r="J55" s="38"/>
      <c r="K55" s="38"/>
      <c r="L55" s="38"/>
      <c r="M55" s="38"/>
      <c r="N55" s="7"/>
    </row>
    <row r="56" spans="1:15" s="4" customFormat="1" ht="15" customHeight="1" x14ac:dyDescent="0.35">
      <c r="A56" s="7"/>
      <c r="B56" s="23" t="s">
        <v>67</v>
      </c>
      <c r="C56" s="59">
        <v>360</v>
      </c>
      <c r="D56" s="18">
        <f t="shared" si="20"/>
        <v>4320</v>
      </c>
      <c r="E56" s="18">
        <f t="shared" si="21"/>
        <v>1080</v>
      </c>
      <c r="F56" s="24">
        <f t="shared" ref="F56:F63" si="25">E56-D56</f>
        <v>-3240</v>
      </c>
      <c r="G56" s="63">
        <f t="shared" si="23"/>
        <v>7.3544433094994893E-2</v>
      </c>
      <c r="H56" s="182"/>
      <c r="I56" s="38"/>
      <c r="J56" s="38"/>
      <c r="K56" s="38"/>
      <c r="L56" s="38"/>
      <c r="M56" s="38"/>
      <c r="N56" s="7"/>
    </row>
    <row r="57" spans="1:15" s="4" customFormat="1" ht="15" customHeight="1" x14ac:dyDescent="0.35">
      <c r="A57" s="7"/>
      <c r="B57" s="23" t="s">
        <v>98</v>
      </c>
      <c r="C57" s="59">
        <v>420</v>
      </c>
      <c r="D57" s="18">
        <f t="shared" si="20"/>
        <v>5040</v>
      </c>
      <c r="E57" s="18">
        <f t="shared" si="21"/>
        <v>1260</v>
      </c>
      <c r="F57" s="24">
        <f t="shared" si="25"/>
        <v>-3780</v>
      </c>
      <c r="G57" s="63">
        <f t="shared" si="23"/>
        <v>8.580183861082738E-2</v>
      </c>
      <c r="H57" s="182"/>
      <c r="I57" s="38"/>
      <c r="J57" s="38"/>
      <c r="K57" s="38"/>
      <c r="L57" s="38"/>
      <c r="M57" s="38"/>
      <c r="N57" s="7"/>
    </row>
    <row r="58" spans="1:15" s="4" customFormat="1" ht="15" customHeight="1" x14ac:dyDescent="0.35">
      <c r="A58" s="7"/>
      <c r="B58" s="23" t="s">
        <v>68</v>
      </c>
      <c r="C58" s="59">
        <v>130</v>
      </c>
      <c r="D58" s="18">
        <f t="shared" si="20"/>
        <v>1560</v>
      </c>
      <c r="E58" s="18">
        <f t="shared" si="21"/>
        <v>390</v>
      </c>
      <c r="F58" s="24">
        <f t="shared" si="25"/>
        <v>-1170</v>
      </c>
      <c r="G58" s="63">
        <f t="shared" si="23"/>
        <v>2.6557711950970377E-2</v>
      </c>
      <c r="H58" s="182"/>
      <c r="I58" s="38"/>
      <c r="J58" s="38"/>
      <c r="K58" s="38"/>
      <c r="L58" s="38"/>
      <c r="M58" s="38"/>
      <c r="N58" s="7"/>
    </row>
    <row r="59" spans="1:15" s="4" customFormat="1" ht="15" customHeight="1" x14ac:dyDescent="0.35">
      <c r="A59" s="7"/>
      <c r="B59" s="23" t="s">
        <v>96</v>
      </c>
      <c r="C59" s="59">
        <v>270</v>
      </c>
      <c r="D59" s="18">
        <f t="shared" si="20"/>
        <v>3240</v>
      </c>
      <c r="E59" s="18">
        <f t="shared" si="21"/>
        <v>810</v>
      </c>
      <c r="F59" s="24">
        <f t="shared" si="25"/>
        <v>-2430</v>
      </c>
      <c r="G59" s="63">
        <f t="shared" si="23"/>
        <v>5.515832482124617E-2</v>
      </c>
      <c r="H59" s="182"/>
      <c r="I59" s="38"/>
      <c r="J59" s="38"/>
      <c r="K59" s="38"/>
      <c r="L59" s="38"/>
      <c r="M59" s="38"/>
      <c r="N59" s="7"/>
    </row>
    <row r="60" spans="1:15" s="4" customFormat="1" ht="15" customHeight="1" x14ac:dyDescent="0.35">
      <c r="A60" s="7"/>
      <c r="B60" s="23" t="s">
        <v>69</v>
      </c>
      <c r="C60" s="59">
        <v>300</v>
      </c>
      <c r="D60" s="18">
        <f t="shared" si="20"/>
        <v>3600</v>
      </c>
      <c r="E60" s="18">
        <f t="shared" si="21"/>
        <v>900</v>
      </c>
      <c r="F60" s="24">
        <f t="shared" si="25"/>
        <v>-2700</v>
      </c>
      <c r="G60" s="63">
        <f t="shared" si="23"/>
        <v>6.1287027579162413E-2</v>
      </c>
      <c r="H60" s="182"/>
      <c r="I60" s="38"/>
      <c r="J60" s="38"/>
      <c r="K60" s="38"/>
      <c r="L60" s="38"/>
      <c r="M60" s="7"/>
      <c r="N60" s="7"/>
    </row>
    <row r="61" spans="1:15" s="4" customFormat="1" ht="15" customHeight="1" x14ac:dyDescent="0.35">
      <c r="A61" s="7"/>
      <c r="B61" s="23" t="s">
        <v>70</v>
      </c>
      <c r="C61" s="59">
        <v>180</v>
      </c>
      <c r="D61" s="18">
        <f t="shared" si="20"/>
        <v>2160</v>
      </c>
      <c r="E61" s="18">
        <f t="shared" si="21"/>
        <v>540</v>
      </c>
      <c r="F61" s="24">
        <f t="shared" si="25"/>
        <v>-1620</v>
      </c>
      <c r="G61" s="63">
        <f t="shared" si="23"/>
        <v>3.6772216547497447E-2</v>
      </c>
      <c r="H61" s="182"/>
      <c r="I61" s="7"/>
      <c r="J61" s="7"/>
      <c r="K61" s="7"/>
      <c r="L61" s="7"/>
      <c r="M61" s="7"/>
      <c r="N61" s="7"/>
    </row>
    <row r="62" spans="1:15" s="4" customFormat="1" ht="15" customHeight="1" x14ac:dyDescent="0.35">
      <c r="A62" s="7"/>
      <c r="B62" s="23" t="s">
        <v>71</v>
      </c>
      <c r="C62" s="59">
        <v>200</v>
      </c>
      <c r="D62" s="18">
        <f t="shared" si="20"/>
        <v>2400</v>
      </c>
      <c r="E62" s="18">
        <v>0</v>
      </c>
      <c r="F62" s="24">
        <f t="shared" si="25"/>
        <v>-2400</v>
      </c>
      <c r="G62" s="63">
        <f t="shared" si="23"/>
        <v>0</v>
      </c>
      <c r="H62" s="32"/>
      <c r="I62" s="7"/>
      <c r="J62" s="7"/>
      <c r="K62" s="7"/>
      <c r="L62" s="7"/>
      <c r="M62" s="7"/>
      <c r="N62" s="7"/>
    </row>
    <row r="63" spans="1:15" s="4" customFormat="1" ht="15" customHeight="1" x14ac:dyDescent="0.35">
      <c r="A63" s="7"/>
      <c r="B63" s="23"/>
      <c r="C63" s="59"/>
      <c r="D63" s="26">
        <v>67535</v>
      </c>
      <c r="E63" s="26">
        <f>SUM(E44:E62)</f>
        <v>14685</v>
      </c>
      <c r="F63" s="24">
        <f t="shared" si="25"/>
        <v>-52850</v>
      </c>
      <c r="G63" s="64" t="e">
        <f>+E63/$E$97</f>
        <v>#REF!</v>
      </c>
      <c r="H63" s="181"/>
      <c r="I63" s="7"/>
      <c r="J63" s="7"/>
      <c r="K63" s="7"/>
      <c r="L63" s="7"/>
      <c r="M63" s="7"/>
      <c r="N63" s="7"/>
    </row>
    <row r="64" spans="1:15" s="4" customFormat="1" ht="15" customHeight="1" x14ac:dyDescent="0.35">
      <c r="A64" s="7"/>
      <c r="B64" s="20" t="s">
        <v>12</v>
      </c>
      <c r="C64" s="59"/>
      <c r="D64" s="27"/>
      <c r="E64" s="27"/>
      <c r="F64" s="24"/>
      <c r="G64" s="62"/>
      <c r="H64" s="182"/>
      <c r="I64" s="39"/>
      <c r="J64" s="39"/>
      <c r="K64" s="39"/>
      <c r="L64" s="7"/>
      <c r="M64" s="7"/>
      <c r="N64" s="7"/>
    </row>
    <row r="65" spans="1:14" s="4" customFormat="1" ht="15" customHeight="1" x14ac:dyDescent="0.35">
      <c r="A65" s="7"/>
      <c r="B65" s="23" t="s">
        <v>72</v>
      </c>
      <c r="C65" s="59">
        <v>60</v>
      </c>
      <c r="D65" s="18">
        <f t="shared" ref="D65:D73" si="26">+C65*$D$19</f>
        <v>720</v>
      </c>
      <c r="E65" s="18">
        <f t="shared" ref="E65:E73" si="27">+C65*$E$19</f>
        <v>180</v>
      </c>
      <c r="F65" s="24">
        <f t="shared" ref="F65:F74" si="28">E65-D65</f>
        <v>-540</v>
      </c>
      <c r="G65" s="63">
        <f>+E65/$E$74</f>
        <v>2.8708133971291867E-2</v>
      </c>
      <c r="H65" s="182"/>
      <c r="I65" s="39"/>
      <c r="J65" s="39"/>
      <c r="K65" s="39"/>
      <c r="L65" s="7"/>
      <c r="M65" s="7"/>
      <c r="N65" s="7"/>
    </row>
    <row r="66" spans="1:14" s="4" customFormat="1" ht="15" customHeight="1" x14ac:dyDescent="0.35">
      <c r="A66" s="7"/>
      <c r="B66" s="23" t="s">
        <v>73</v>
      </c>
      <c r="C66" s="59">
        <v>60</v>
      </c>
      <c r="D66" s="18">
        <f t="shared" si="26"/>
        <v>720</v>
      </c>
      <c r="E66" s="18">
        <f t="shared" si="27"/>
        <v>180</v>
      </c>
      <c r="F66" s="24">
        <f t="shared" si="28"/>
        <v>-540</v>
      </c>
      <c r="G66" s="63">
        <f t="shared" ref="G66:G73" si="29">+E66/$E$74</f>
        <v>2.8708133971291867E-2</v>
      </c>
      <c r="H66" s="182"/>
      <c r="I66" s="39"/>
      <c r="J66" s="39"/>
      <c r="K66" s="39"/>
      <c r="L66" s="7"/>
      <c r="M66" s="7"/>
      <c r="N66" s="7"/>
    </row>
    <row r="67" spans="1:14" s="4" customFormat="1" ht="15" customHeight="1" x14ac:dyDescent="0.35">
      <c r="A67" s="7"/>
      <c r="B67" s="23" t="s">
        <v>74</v>
      </c>
      <c r="C67" s="59">
        <v>450</v>
      </c>
      <c r="D67" s="18">
        <f t="shared" si="26"/>
        <v>5400</v>
      </c>
      <c r="E67" s="18">
        <f t="shared" si="27"/>
        <v>1350</v>
      </c>
      <c r="F67" s="24">
        <f t="shared" si="28"/>
        <v>-4050</v>
      </c>
      <c r="G67" s="63">
        <f t="shared" si="29"/>
        <v>0.21531100478468901</v>
      </c>
      <c r="H67" s="182"/>
      <c r="I67" s="39"/>
      <c r="J67" s="39"/>
      <c r="K67" s="39"/>
      <c r="L67" s="7"/>
      <c r="M67" s="7"/>
      <c r="N67" s="7"/>
    </row>
    <row r="68" spans="1:14" s="4" customFormat="1" ht="15" customHeight="1" x14ac:dyDescent="0.35">
      <c r="A68" s="7"/>
      <c r="B68" s="23" t="s">
        <v>75</v>
      </c>
      <c r="C68" s="59">
        <v>150</v>
      </c>
      <c r="D68" s="18">
        <f t="shared" si="26"/>
        <v>1800</v>
      </c>
      <c r="E68" s="18">
        <f t="shared" si="27"/>
        <v>450</v>
      </c>
      <c r="F68" s="24">
        <f t="shared" si="28"/>
        <v>-1350</v>
      </c>
      <c r="G68" s="63">
        <f t="shared" si="29"/>
        <v>7.1770334928229665E-2</v>
      </c>
      <c r="H68" s="37"/>
      <c r="I68" s="39"/>
      <c r="J68" s="39"/>
      <c r="K68" s="39"/>
      <c r="L68" s="7"/>
      <c r="M68" s="7"/>
      <c r="N68" s="7"/>
    </row>
    <row r="69" spans="1:14" s="4" customFormat="1" ht="15" customHeight="1" x14ac:dyDescent="0.35">
      <c r="A69" s="7"/>
      <c r="B69" s="23" t="s">
        <v>76</v>
      </c>
      <c r="C69" s="59">
        <v>80</v>
      </c>
      <c r="D69" s="18">
        <f t="shared" si="26"/>
        <v>960</v>
      </c>
      <c r="E69" s="18">
        <f t="shared" si="27"/>
        <v>240</v>
      </c>
      <c r="F69" s="24">
        <f t="shared" si="28"/>
        <v>-720</v>
      </c>
      <c r="G69" s="63">
        <f t="shared" si="29"/>
        <v>3.8277511961722487E-2</v>
      </c>
      <c r="H69" s="32"/>
      <c r="I69" s="39"/>
      <c r="J69" s="39"/>
      <c r="K69" s="39"/>
      <c r="L69" s="7"/>
      <c r="M69" s="7"/>
      <c r="N69" s="7"/>
    </row>
    <row r="70" spans="1:14" s="4" customFormat="1" ht="14.5" customHeight="1" x14ac:dyDescent="0.35">
      <c r="A70" s="7"/>
      <c r="B70" s="23" t="s">
        <v>91</v>
      </c>
      <c r="C70" s="59">
        <v>210</v>
      </c>
      <c r="D70" s="18">
        <f t="shared" si="26"/>
        <v>2520</v>
      </c>
      <c r="E70" s="18">
        <f t="shared" si="27"/>
        <v>630</v>
      </c>
      <c r="F70" s="24">
        <f t="shared" si="28"/>
        <v>-1890</v>
      </c>
      <c r="G70" s="63">
        <f t="shared" si="29"/>
        <v>0.10047846889952153</v>
      </c>
      <c r="H70" s="181"/>
      <c r="I70" s="7"/>
      <c r="J70" s="7"/>
      <c r="K70" s="7"/>
      <c r="L70" s="7"/>
      <c r="M70" s="7"/>
      <c r="N70" s="7"/>
    </row>
    <row r="71" spans="1:14" s="4" customFormat="1" ht="14.5" customHeight="1" x14ac:dyDescent="0.35">
      <c r="A71" s="7"/>
      <c r="B71" s="23" t="s">
        <v>93</v>
      </c>
      <c r="C71" s="59">
        <v>800</v>
      </c>
      <c r="D71" s="18">
        <f t="shared" si="26"/>
        <v>9600</v>
      </c>
      <c r="E71" s="18">
        <f t="shared" si="27"/>
        <v>2400</v>
      </c>
      <c r="F71" s="24">
        <f t="shared" si="28"/>
        <v>-7200</v>
      </c>
      <c r="G71" s="63">
        <f t="shared" si="29"/>
        <v>0.38277511961722488</v>
      </c>
      <c r="H71" s="182"/>
      <c r="I71" s="7"/>
      <c r="J71" s="7"/>
      <c r="K71" s="7"/>
      <c r="L71" s="7"/>
      <c r="M71" s="7"/>
      <c r="N71" s="7"/>
    </row>
    <row r="72" spans="1:14" s="4" customFormat="1" ht="14.5" customHeight="1" x14ac:dyDescent="0.35">
      <c r="A72" s="7"/>
      <c r="B72" s="23" t="s">
        <v>77</v>
      </c>
      <c r="C72" s="59">
        <v>190</v>
      </c>
      <c r="D72" s="18">
        <f t="shared" si="26"/>
        <v>2280</v>
      </c>
      <c r="E72" s="18">
        <f t="shared" si="27"/>
        <v>570</v>
      </c>
      <c r="F72" s="24">
        <f t="shared" si="28"/>
        <v>-1710</v>
      </c>
      <c r="G72" s="63">
        <f t="shared" si="29"/>
        <v>9.0909090909090912E-2</v>
      </c>
      <c r="H72" s="182"/>
      <c r="I72" s="7"/>
      <c r="J72" s="7"/>
      <c r="K72" s="7"/>
      <c r="L72" s="7"/>
      <c r="M72" s="7"/>
      <c r="N72" s="7"/>
    </row>
    <row r="73" spans="1:14" s="4" customFormat="1" ht="14.5" customHeight="1" x14ac:dyDescent="0.35">
      <c r="A73" s="7"/>
      <c r="B73" s="23" t="s">
        <v>78</v>
      </c>
      <c r="C73" s="59">
        <v>90</v>
      </c>
      <c r="D73" s="18">
        <f t="shared" si="26"/>
        <v>1080</v>
      </c>
      <c r="E73" s="18">
        <f t="shared" si="27"/>
        <v>270</v>
      </c>
      <c r="F73" s="24">
        <f t="shared" si="28"/>
        <v>-810</v>
      </c>
      <c r="G73" s="63">
        <f t="shared" si="29"/>
        <v>4.3062200956937802E-2</v>
      </c>
      <c r="H73" s="182"/>
      <c r="I73" s="7"/>
      <c r="J73" s="7"/>
      <c r="K73" s="7"/>
      <c r="L73" s="7"/>
      <c r="M73" s="7"/>
      <c r="N73" s="7"/>
    </row>
    <row r="74" spans="1:14" s="4" customFormat="1" ht="14.5" customHeight="1" x14ac:dyDescent="0.35">
      <c r="A74" s="7"/>
      <c r="B74" s="23"/>
      <c r="C74" s="59"/>
      <c r="D74" s="26">
        <v>26520</v>
      </c>
      <c r="E74" s="26">
        <f>SUM(E65:E73)</f>
        <v>6270</v>
      </c>
      <c r="F74" s="24">
        <f t="shared" si="28"/>
        <v>-20250</v>
      </c>
      <c r="G74" s="64" t="e">
        <f>+E74/$E$97</f>
        <v>#REF!</v>
      </c>
      <c r="H74" s="182"/>
      <c r="I74" s="7"/>
      <c r="J74" s="7"/>
      <c r="K74" s="7"/>
      <c r="L74" s="7"/>
      <c r="M74" s="7"/>
      <c r="N74" s="7"/>
    </row>
    <row r="75" spans="1:14" s="4" customFormat="1" ht="14.5" customHeight="1" x14ac:dyDescent="0.35">
      <c r="A75" s="7"/>
      <c r="B75" s="20" t="s">
        <v>13</v>
      </c>
      <c r="C75" s="59"/>
      <c r="D75" s="27"/>
      <c r="E75" s="27"/>
      <c r="F75" s="24"/>
      <c r="G75" s="62"/>
      <c r="H75" s="182"/>
      <c r="I75" s="7"/>
      <c r="J75" s="7"/>
      <c r="K75" s="7"/>
      <c r="L75" s="7"/>
      <c r="M75" s="7"/>
      <c r="N75" s="7"/>
    </row>
    <row r="76" spans="1:14" s="4" customFormat="1" ht="14.5" customHeight="1" x14ac:dyDescent="0.35">
      <c r="A76" s="7"/>
      <c r="B76" s="23" t="s">
        <v>79</v>
      </c>
      <c r="C76" s="59">
        <v>42</v>
      </c>
      <c r="D76" s="18">
        <f t="shared" ref="D76:D85" si="30">+C76*$D$19</f>
        <v>504</v>
      </c>
      <c r="E76" s="18">
        <f t="shared" ref="E76:E85" si="31">+C76*$E$19</f>
        <v>126</v>
      </c>
      <c r="F76" s="24">
        <f t="shared" ref="F76:F86" si="32">E76-D76</f>
        <v>-378</v>
      </c>
      <c r="G76" s="63">
        <f>+E76/$E$86</f>
        <v>4.2296072507552872E-2</v>
      </c>
      <c r="H76" s="182"/>
      <c r="I76" s="7"/>
      <c r="J76" s="7"/>
      <c r="K76" s="7"/>
      <c r="L76" s="7"/>
      <c r="M76" s="7"/>
      <c r="N76" s="7"/>
    </row>
    <row r="77" spans="1:14" s="4" customFormat="1" ht="14.5" customHeight="1" x14ac:dyDescent="0.35">
      <c r="A77" s="7"/>
      <c r="B77" s="23" t="s">
        <v>80</v>
      </c>
      <c r="C77" s="59">
        <v>0</v>
      </c>
      <c r="D77" s="18">
        <f t="shared" si="30"/>
        <v>0</v>
      </c>
      <c r="E77" s="18">
        <f t="shared" si="31"/>
        <v>0</v>
      </c>
      <c r="F77" s="24">
        <f t="shared" si="32"/>
        <v>0</v>
      </c>
      <c r="G77" s="63">
        <f t="shared" ref="G77:G85" si="33">+E77/$E$86</f>
        <v>0</v>
      </c>
      <c r="H77" s="5"/>
      <c r="I77" s="7"/>
      <c r="J77" s="7"/>
      <c r="K77" s="7"/>
      <c r="L77" s="7"/>
      <c r="M77" s="7"/>
      <c r="N77" s="7"/>
    </row>
    <row r="78" spans="1:14" s="4" customFormat="1" ht="14.5" customHeight="1" x14ac:dyDescent="0.35">
      <c r="A78" s="7"/>
      <c r="B78" s="23" t="s">
        <v>81</v>
      </c>
      <c r="C78" s="59">
        <v>129</v>
      </c>
      <c r="D78" s="18">
        <f t="shared" si="30"/>
        <v>1548</v>
      </c>
      <c r="E78" s="18">
        <f t="shared" si="31"/>
        <v>387</v>
      </c>
      <c r="F78" s="24">
        <f t="shared" si="32"/>
        <v>-1161</v>
      </c>
      <c r="G78" s="63">
        <f t="shared" si="33"/>
        <v>0.12990936555891239</v>
      </c>
      <c r="H78" s="183"/>
      <c r="I78" s="7"/>
      <c r="J78" s="7"/>
      <c r="K78" s="7"/>
      <c r="L78" s="7"/>
      <c r="M78" s="7"/>
      <c r="N78" s="7"/>
    </row>
    <row r="79" spans="1:14" s="4" customFormat="1" ht="14.5" customHeight="1" x14ac:dyDescent="0.35">
      <c r="A79" s="7"/>
      <c r="B79" s="23" t="s">
        <v>92</v>
      </c>
      <c r="C79" s="59">
        <v>140</v>
      </c>
      <c r="D79" s="18">
        <f t="shared" si="30"/>
        <v>1680</v>
      </c>
      <c r="E79" s="18">
        <f t="shared" si="31"/>
        <v>420</v>
      </c>
      <c r="F79" s="24">
        <f t="shared" si="32"/>
        <v>-1260</v>
      </c>
      <c r="G79" s="63">
        <f t="shared" si="33"/>
        <v>0.14098690835850958</v>
      </c>
      <c r="H79" s="184"/>
      <c r="I79" s="7"/>
      <c r="J79" s="7"/>
      <c r="K79" s="7"/>
      <c r="L79" s="7"/>
      <c r="M79" s="7"/>
      <c r="N79" s="7"/>
    </row>
    <row r="80" spans="1:14" s="4" customFormat="1" ht="15.75" customHeight="1" x14ac:dyDescent="0.35">
      <c r="A80" s="7"/>
      <c r="B80" s="23" t="s">
        <v>82</v>
      </c>
      <c r="C80" s="59">
        <v>98</v>
      </c>
      <c r="D80" s="18">
        <f t="shared" si="30"/>
        <v>1176</v>
      </c>
      <c r="E80" s="18">
        <f t="shared" si="31"/>
        <v>294</v>
      </c>
      <c r="F80" s="24">
        <f t="shared" si="32"/>
        <v>-882</v>
      </c>
      <c r="G80" s="63">
        <f t="shared" si="33"/>
        <v>9.8690835850956699E-2</v>
      </c>
      <c r="H80" s="184"/>
      <c r="I80" s="7"/>
      <c r="J80" s="7"/>
      <c r="K80" s="7"/>
      <c r="L80" s="7"/>
      <c r="M80" s="7"/>
      <c r="N80" s="7"/>
    </row>
    <row r="81" spans="1:14" s="4" customFormat="1" ht="15.75" customHeight="1" x14ac:dyDescent="0.35">
      <c r="A81" s="7"/>
      <c r="B81" s="23" t="s">
        <v>83</v>
      </c>
      <c r="C81" s="59">
        <v>150</v>
      </c>
      <c r="D81" s="18">
        <f t="shared" si="30"/>
        <v>1800</v>
      </c>
      <c r="E81" s="18">
        <f t="shared" si="31"/>
        <v>450</v>
      </c>
      <c r="F81" s="24">
        <f t="shared" si="32"/>
        <v>-1350</v>
      </c>
      <c r="G81" s="63">
        <f t="shared" si="33"/>
        <v>0.15105740181268881</v>
      </c>
      <c r="H81" s="184"/>
      <c r="I81" s="7"/>
      <c r="J81" s="7"/>
      <c r="K81" s="7"/>
      <c r="L81" s="7"/>
      <c r="M81" s="7"/>
      <c r="N81" s="7"/>
    </row>
    <row r="82" spans="1:14" s="4" customFormat="1" ht="15.75" customHeight="1" x14ac:dyDescent="0.35">
      <c r="A82" s="7"/>
      <c r="B82" s="23" t="s">
        <v>84</v>
      </c>
      <c r="C82" s="59">
        <v>70</v>
      </c>
      <c r="D82" s="18">
        <f t="shared" si="30"/>
        <v>840</v>
      </c>
      <c r="E82" s="18">
        <f t="shared" si="31"/>
        <v>210</v>
      </c>
      <c r="F82" s="24">
        <f t="shared" si="32"/>
        <v>-630</v>
      </c>
      <c r="G82" s="63">
        <f t="shared" si="33"/>
        <v>7.0493454179254789E-2</v>
      </c>
      <c r="H82" s="184"/>
      <c r="I82" s="7"/>
      <c r="J82" s="7"/>
      <c r="K82" s="7"/>
      <c r="L82" s="7"/>
      <c r="M82" s="7"/>
      <c r="N82" s="7"/>
    </row>
    <row r="83" spans="1:14" s="4" customFormat="1" ht="15.75" customHeight="1" x14ac:dyDescent="0.35">
      <c r="A83" s="7"/>
      <c r="B83" s="23" t="s">
        <v>85</v>
      </c>
      <c r="C83" s="59">
        <v>99</v>
      </c>
      <c r="D83" s="18">
        <f t="shared" si="30"/>
        <v>1188</v>
      </c>
      <c r="E83" s="18">
        <f t="shared" si="31"/>
        <v>297</v>
      </c>
      <c r="F83" s="24">
        <f t="shared" si="32"/>
        <v>-891</v>
      </c>
      <c r="G83" s="63">
        <f t="shared" si="33"/>
        <v>9.9697885196374625E-2</v>
      </c>
      <c r="H83" s="184"/>
      <c r="I83" s="7"/>
      <c r="J83" s="7"/>
      <c r="K83" s="7"/>
      <c r="L83" s="7"/>
      <c r="M83" s="7"/>
      <c r="N83" s="7"/>
    </row>
    <row r="84" spans="1:14" s="4" customFormat="1" ht="15.75" customHeight="1" x14ac:dyDescent="0.35">
      <c r="A84" s="7"/>
      <c r="B84" s="23" t="s">
        <v>86</v>
      </c>
      <c r="C84" s="59">
        <v>195</v>
      </c>
      <c r="D84" s="18">
        <f t="shared" si="30"/>
        <v>2340</v>
      </c>
      <c r="E84" s="18">
        <f t="shared" si="31"/>
        <v>585</v>
      </c>
      <c r="F84" s="24">
        <f t="shared" si="32"/>
        <v>-1755</v>
      </c>
      <c r="G84" s="63">
        <f t="shared" si="33"/>
        <v>0.19637462235649547</v>
      </c>
      <c r="H84" s="184"/>
      <c r="I84" s="7"/>
      <c r="J84" s="7"/>
      <c r="K84" s="7"/>
      <c r="L84" s="7"/>
      <c r="M84" s="7"/>
      <c r="N84" s="7"/>
    </row>
    <row r="85" spans="1:14" s="4" customFormat="1" ht="15.75" customHeight="1" x14ac:dyDescent="0.35">
      <c r="A85" s="7"/>
      <c r="B85" s="23" t="s">
        <v>97</v>
      </c>
      <c r="C85" s="59">
        <v>70</v>
      </c>
      <c r="D85" s="18">
        <f t="shared" si="30"/>
        <v>840</v>
      </c>
      <c r="E85" s="18">
        <f t="shared" si="31"/>
        <v>210</v>
      </c>
      <c r="F85" s="24">
        <f t="shared" si="32"/>
        <v>-630</v>
      </c>
      <c r="G85" s="63">
        <f t="shared" si="33"/>
        <v>7.0493454179254789E-2</v>
      </c>
      <c r="H85" s="3"/>
      <c r="I85" s="7"/>
      <c r="J85" s="7"/>
      <c r="K85" s="7"/>
      <c r="L85" s="7"/>
      <c r="M85" s="7"/>
      <c r="N85" s="7"/>
    </row>
    <row r="86" spans="1:14" s="4" customFormat="1" ht="15.5" customHeight="1" x14ac:dyDescent="0.35">
      <c r="A86" s="7"/>
      <c r="B86" s="23"/>
      <c r="C86" s="59"/>
      <c r="D86" s="26">
        <v>11908</v>
      </c>
      <c r="E86" s="26">
        <f>SUM(E76:E85)</f>
        <v>2979</v>
      </c>
      <c r="F86" s="24">
        <f t="shared" si="32"/>
        <v>-8929</v>
      </c>
      <c r="G86" s="64" t="e">
        <f>+E86/$E$97</f>
        <v>#REF!</v>
      </c>
      <c r="H86" s="7"/>
      <c r="I86" s="7"/>
      <c r="J86" s="7"/>
      <c r="K86" s="7"/>
      <c r="L86" s="7"/>
      <c r="M86" s="7"/>
      <c r="N86" s="7"/>
    </row>
    <row r="87" spans="1:14" s="4" customFormat="1" ht="15.5" customHeight="1" x14ac:dyDescent="0.35">
      <c r="A87" s="7"/>
      <c r="B87" s="23"/>
      <c r="C87" s="59"/>
      <c r="D87" s="27"/>
      <c r="E87" s="27"/>
      <c r="F87" s="24"/>
      <c r="G87" s="64"/>
      <c r="H87" s="7"/>
      <c r="I87" s="7"/>
      <c r="J87" s="7"/>
      <c r="K87" s="7"/>
      <c r="L87" s="7"/>
      <c r="M87" s="7"/>
      <c r="N87" s="7"/>
    </row>
    <row r="88" spans="1:14" s="4" customFormat="1" ht="15.75" customHeight="1" x14ac:dyDescent="0.35">
      <c r="A88" s="7"/>
      <c r="B88" s="20" t="s">
        <v>104</v>
      </c>
      <c r="C88" s="59"/>
      <c r="D88" s="61">
        <f>+D86+D74+D63+D42+D36+D30+D24</f>
        <v>132353</v>
      </c>
      <c r="E88" s="61" t="e">
        <f>+#REF!+#REF!</f>
        <v>#REF!</v>
      </c>
      <c r="F88" s="24"/>
      <c r="G88" s="65" t="e">
        <f>+E88/E97</f>
        <v>#REF!</v>
      </c>
      <c r="H88" s="7"/>
      <c r="I88" s="7"/>
      <c r="J88" s="7"/>
      <c r="K88" s="7"/>
      <c r="L88" s="7"/>
      <c r="M88" s="7"/>
      <c r="N88" s="7"/>
    </row>
    <row r="89" spans="1:14" s="4" customFormat="1" ht="15.75" customHeight="1" x14ac:dyDescent="0.35">
      <c r="A89" s="7"/>
      <c r="B89" s="23"/>
      <c r="C89" s="59"/>
      <c r="D89" s="27"/>
      <c r="E89" s="27"/>
      <c r="F89" s="24"/>
      <c r="G89" s="64"/>
      <c r="H89" s="7"/>
      <c r="I89" s="7"/>
      <c r="J89" s="7"/>
      <c r="K89" s="7"/>
      <c r="L89" s="7"/>
      <c r="M89" s="7"/>
      <c r="N89" s="7"/>
    </row>
    <row r="90" spans="1:14" s="4" customFormat="1" ht="15.75" customHeight="1" x14ac:dyDescent="0.35">
      <c r="A90" s="7"/>
      <c r="B90" s="20" t="s">
        <v>14</v>
      </c>
      <c r="C90" s="59"/>
      <c r="D90" s="27"/>
      <c r="E90" s="27"/>
      <c r="F90" s="24"/>
      <c r="G90" s="62"/>
      <c r="H90" s="7"/>
      <c r="I90" s="7"/>
      <c r="J90" s="7"/>
      <c r="K90" s="7"/>
      <c r="L90" s="7"/>
      <c r="M90" s="7"/>
      <c r="N90" s="7"/>
    </row>
    <row r="91" spans="1:14" s="4" customFormat="1" ht="15.75" customHeight="1" x14ac:dyDescent="0.35">
      <c r="A91" s="7"/>
      <c r="B91" s="23" t="s">
        <v>15</v>
      </c>
      <c r="C91" s="59"/>
      <c r="D91" s="18">
        <v>0</v>
      </c>
      <c r="E91" s="18" t="e">
        <f>+#REF!</f>
        <v>#REF!</v>
      </c>
      <c r="F91" s="24" t="e">
        <f t="shared" ref="F91:F95" si="34">E91-D91</f>
        <v>#REF!</v>
      </c>
      <c r="G91" s="64" t="e">
        <f>+E91/$E$97</f>
        <v>#REF!</v>
      </c>
      <c r="H91" s="7"/>
      <c r="I91" s="7"/>
      <c r="J91" s="7"/>
      <c r="K91" s="7"/>
      <c r="L91" s="7"/>
      <c r="M91" s="7"/>
      <c r="N91" s="7"/>
    </row>
    <row r="92" spans="1:14" s="4" customFormat="1" ht="15.75" customHeight="1" x14ac:dyDescent="0.35">
      <c r="A92" s="7"/>
      <c r="B92" s="23" t="s">
        <v>17</v>
      </c>
      <c r="C92" s="59"/>
      <c r="D92" s="18">
        <v>28794</v>
      </c>
      <c r="E92" s="18" t="e">
        <f>SUMIF(#REF!,'Orçado x Realizado'!B92,#REF!)</f>
        <v>#REF!</v>
      </c>
      <c r="F92" s="24" t="e">
        <f t="shared" si="34"/>
        <v>#REF!</v>
      </c>
      <c r="G92" s="64" t="e">
        <f t="shared" ref="G92:G94" si="35">+E92/$E$97</f>
        <v>#REF!</v>
      </c>
      <c r="H92" s="7"/>
      <c r="I92" s="7"/>
      <c r="J92" s="7"/>
      <c r="K92" s="7"/>
      <c r="L92" s="7"/>
      <c r="M92" s="7"/>
      <c r="N92" s="7"/>
    </row>
    <row r="93" spans="1:14" s="4" customFormat="1" ht="15.75" customHeight="1" x14ac:dyDescent="0.35">
      <c r="A93" s="7"/>
      <c r="B93" s="23" t="s">
        <v>16</v>
      </c>
      <c r="C93" s="59"/>
      <c r="D93" s="18">
        <v>6801.11</v>
      </c>
      <c r="E93" s="18" t="e">
        <f>+#REF!+#REF!</f>
        <v>#REF!</v>
      </c>
      <c r="F93" s="24" t="e">
        <f t="shared" si="34"/>
        <v>#REF!</v>
      </c>
      <c r="G93" s="64" t="e">
        <f t="shared" si="35"/>
        <v>#REF!</v>
      </c>
      <c r="H93" s="7"/>
      <c r="I93" s="7"/>
      <c r="J93" s="7"/>
      <c r="K93" s="7"/>
      <c r="L93" s="7"/>
      <c r="M93" s="7"/>
      <c r="N93" s="7"/>
    </row>
    <row r="94" spans="1:14" s="4" customFormat="1" ht="15.75" customHeight="1" x14ac:dyDescent="0.35">
      <c r="A94" s="7"/>
      <c r="B94" s="23" t="s">
        <v>18</v>
      </c>
      <c r="C94" s="59"/>
      <c r="D94" s="18">
        <v>0</v>
      </c>
      <c r="E94" s="18" t="e">
        <f>SUMIF(#REF!,'Orçado x Realizado'!B94,#REF!)</f>
        <v>#REF!</v>
      </c>
      <c r="F94" s="24" t="e">
        <f t="shared" si="34"/>
        <v>#REF!</v>
      </c>
      <c r="G94" s="64" t="e">
        <f t="shared" si="35"/>
        <v>#REF!</v>
      </c>
      <c r="H94" s="7"/>
      <c r="I94" s="7"/>
      <c r="J94" s="7"/>
      <c r="K94" s="7"/>
      <c r="L94" s="7"/>
      <c r="N94" s="7"/>
    </row>
    <row r="95" spans="1:14" s="4" customFormat="1" ht="15.75" customHeight="1" x14ac:dyDescent="0.35">
      <c r="A95" s="7"/>
      <c r="B95" s="23"/>
      <c r="C95" s="21"/>
      <c r="D95" s="26">
        <f>SUM(D91:D94)</f>
        <v>35595.11</v>
      </c>
      <c r="E95" s="26" t="e">
        <f>SUM(E91:E94)</f>
        <v>#REF!</v>
      </c>
      <c r="F95" s="24" t="e">
        <f t="shared" si="34"/>
        <v>#REF!</v>
      </c>
      <c r="G95" s="54"/>
      <c r="H95" s="7"/>
      <c r="N95" s="7"/>
    </row>
    <row r="96" spans="1:14" s="4" customFormat="1" ht="15.75" customHeight="1" x14ac:dyDescent="0.35">
      <c r="A96" s="7"/>
      <c r="B96" s="23"/>
      <c r="C96" s="21"/>
      <c r="D96" s="27"/>
      <c r="E96" s="27"/>
      <c r="F96" s="24"/>
      <c r="G96" s="52"/>
      <c r="H96" s="7"/>
      <c r="N96" s="7"/>
    </row>
    <row r="97" spans="1:14" s="4" customFormat="1" ht="15.75" customHeight="1" x14ac:dyDescent="0.35">
      <c r="A97" s="7"/>
      <c r="B97" s="44" t="s">
        <v>102</v>
      </c>
      <c r="C97" s="57"/>
      <c r="D97" s="35">
        <f>+D24+D30+D36+D42+D63+D74+D86+D95</f>
        <v>167948.11</v>
      </c>
      <c r="E97" s="35" t="e">
        <f>+E95+E88</f>
        <v>#REF!</v>
      </c>
      <c r="F97" s="36" t="e">
        <f t="shared" si="2"/>
        <v>#REF!</v>
      </c>
      <c r="G97" s="52"/>
      <c r="H97" s="7"/>
      <c r="I97" s="72"/>
      <c r="N97" s="7"/>
    </row>
    <row r="98" spans="1:14" s="4" customFormat="1" ht="15.75" customHeight="1" x14ac:dyDescent="0.35">
      <c r="A98" s="7"/>
      <c r="B98" s="7"/>
      <c r="C98" s="7"/>
      <c r="D98" s="66"/>
      <c r="E98" s="7"/>
      <c r="F98" s="7"/>
      <c r="G98" s="7"/>
      <c r="H98" s="7"/>
    </row>
    <row r="99" spans="1:14" s="4" customFormat="1" ht="15.75" customHeight="1" x14ac:dyDescent="0.35"/>
    <row r="100" spans="1:14" s="4" customFormat="1" ht="15.75" customHeight="1" x14ac:dyDescent="0.35"/>
    <row r="101" spans="1:14" s="4" customFormat="1" ht="15.75" customHeight="1" x14ac:dyDescent="0.35"/>
    <row r="102" spans="1:14" s="4" customFormat="1" ht="15.75" customHeight="1" x14ac:dyDescent="0.35"/>
    <row r="103" spans="1:14" s="4" customFormat="1" ht="15.75" customHeight="1" x14ac:dyDescent="0.35"/>
    <row r="104" spans="1:14" s="4" customFormat="1" ht="15.75" customHeight="1" x14ac:dyDescent="0.35"/>
    <row r="105" spans="1:14" s="4" customFormat="1" ht="15.75" customHeight="1" x14ac:dyDescent="0.35"/>
    <row r="106" spans="1:14" s="4" customFormat="1" ht="15.75" customHeight="1" x14ac:dyDescent="0.35"/>
    <row r="107" spans="1:14" s="4" customFormat="1" ht="15.75" customHeight="1" x14ac:dyDescent="0.35"/>
    <row r="108" spans="1:14" s="4" customFormat="1" ht="15.75" customHeight="1" x14ac:dyDescent="0.35"/>
    <row r="109" spans="1:14" s="4" customFormat="1" ht="15.75" customHeight="1" x14ac:dyDescent="0.35"/>
    <row r="110" spans="1:14" s="4" customFormat="1" ht="15.75" customHeight="1" x14ac:dyDescent="0.35"/>
    <row r="111" spans="1:14" s="4" customFormat="1" ht="15.75" customHeight="1" x14ac:dyDescent="0.35"/>
    <row r="112" spans="1:14" s="4" customFormat="1" ht="15.75" customHeight="1" x14ac:dyDescent="0.35"/>
    <row r="113" spans="9:13" s="4" customFormat="1" ht="15.75" customHeight="1" x14ac:dyDescent="0.35"/>
    <row r="114" spans="9:13" s="4" customFormat="1" ht="15.75" customHeight="1" x14ac:dyDescent="0.35"/>
    <row r="115" spans="9:13" s="4" customFormat="1" ht="15.75" customHeight="1" x14ac:dyDescent="0.35"/>
    <row r="116" spans="9:13" s="4" customFormat="1" ht="15.75" customHeight="1" x14ac:dyDescent="0.35"/>
    <row r="117" spans="9:13" s="4" customFormat="1" ht="15.75" customHeight="1" x14ac:dyDescent="0.35"/>
    <row r="118" spans="9:13" s="4" customFormat="1" ht="15.75" customHeight="1" x14ac:dyDescent="0.35"/>
    <row r="119" spans="9:13" s="4" customFormat="1" ht="15.75" customHeight="1" x14ac:dyDescent="0.35"/>
    <row r="120" spans="9:13" s="4" customFormat="1" ht="15.75" customHeight="1" x14ac:dyDescent="0.35"/>
    <row r="121" spans="9:13" s="4" customFormat="1" ht="15.75" customHeight="1" x14ac:dyDescent="0.35"/>
    <row r="122" spans="9:13" s="4" customFormat="1" ht="15.75" customHeight="1" x14ac:dyDescent="0.35"/>
    <row r="123" spans="9:13" s="4" customFormat="1" ht="15.75" customHeight="1" x14ac:dyDescent="0.35">
      <c r="M123" s="2"/>
    </row>
    <row r="124" spans="9:13" s="4" customFormat="1" ht="15.75" customHeight="1" x14ac:dyDescent="0.35">
      <c r="I124"/>
      <c r="J124"/>
      <c r="K124"/>
      <c r="L124"/>
      <c r="M124" s="2"/>
    </row>
    <row r="125" spans="9:13" s="4" customFormat="1" ht="15.75" customHeight="1" x14ac:dyDescent="0.35">
      <c r="I125"/>
      <c r="J125"/>
      <c r="K125"/>
      <c r="L125"/>
      <c r="M125" s="2"/>
    </row>
    <row r="126" spans="9:13" s="4" customFormat="1" ht="15.75" customHeight="1" x14ac:dyDescent="0.35">
      <c r="I126"/>
      <c r="J126"/>
      <c r="K126"/>
      <c r="L126"/>
      <c r="M126" s="2"/>
    </row>
    <row r="127" spans="9:13" s="4" customFormat="1" ht="15.75" customHeight="1" x14ac:dyDescent="0.35">
      <c r="I127"/>
      <c r="J127"/>
      <c r="K127"/>
      <c r="L127"/>
      <c r="M127" s="2"/>
    </row>
    <row r="128" spans="9:13" s="4" customFormat="1" ht="15.75" customHeight="1" x14ac:dyDescent="0.35">
      <c r="I128"/>
      <c r="J128"/>
      <c r="K128"/>
      <c r="L128"/>
      <c r="M128" s="2"/>
    </row>
    <row r="129" spans="2:14" s="4" customFormat="1" ht="15.75" customHeight="1" x14ac:dyDescent="0.35">
      <c r="I129"/>
      <c r="J129"/>
      <c r="K129"/>
      <c r="L129"/>
      <c r="M129" s="2"/>
    </row>
    <row r="130" spans="2:14" s="4" customFormat="1" ht="15.75" customHeight="1" x14ac:dyDescent="0.35">
      <c r="I130"/>
      <c r="J130"/>
      <c r="K130"/>
      <c r="L130"/>
      <c r="M130" s="2"/>
    </row>
    <row r="131" spans="2:14" s="4" customFormat="1" ht="15.75" customHeight="1" x14ac:dyDescent="0.35">
      <c r="I131"/>
      <c r="J131"/>
      <c r="K131"/>
      <c r="L131"/>
      <c r="M131" s="2"/>
    </row>
    <row r="132" spans="2:14" s="4" customFormat="1" ht="15.75" customHeight="1" x14ac:dyDescent="0.35">
      <c r="I132"/>
      <c r="J132"/>
      <c r="K132"/>
      <c r="L132"/>
      <c r="M132" s="2"/>
    </row>
    <row r="133" spans="2:14" s="4" customFormat="1" ht="15.75" customHeight="1" x14ac:dyDescent="0.35">
      <c r="I133"/>
      <c r="J133"/>
      <c r="K133"/>
      <c r="L133"/>
      <c r="M133" s="2"/>
    </row>
    <row r="134" spans="2:14" s="4" customFormat="1" ht="15.75" customHeight="1" x14ac:dyDescent="0.35">
      <c r="I134"/>
      <c r="J134"/>
      <c r="K134"/>
      <c r="L134"/>
      <c r="M134" s="2"/>
    </row>
    <row r="135" spans="2:14" s="4" customFormat="1" ht="15.75" customHeight="1" x14ac:dyDescent="0.35">
      <c r="I135"/>
      <c r="J135"/>
      <c r="K135"/>
      <c r="L135"/>
      <c r="M135" s="2"/>
    </row>
    <row r="136" spans="2:14" s="4" customFormat="1" ht="15.75" customHeight="1" x14ac:dyDescent="0.35">
      <c r="I136"/>
      <c r="J136"/>
      <c r="K136"/>
      <c r="L136"/>
      <c r="M136" s="2"/>
    </row>
    <row r="137" spans="2:14" s="4" customFormat="1" ht="15.75" customHeight="1" x14ac:dyDescent="0.35">
      <c r="I137"/>
      <c r="J137"/>
      <c r="K137"/>
      <c r="L137"/>
      <c r="M137" s="2"/>
    </row>
    <row r="138" spans="2:14" s="4" customFormat="1" ht="15.75" customHeight="1" x14ac:dyDescent="0.35">
      <c r="I138"/>
      <c r="J138"/>
      <c r="K138"/>
      <c r="L138"/>
      <c r="M138" s="2"/>
    </row>
    <row r="139" spans="2:14" s="4" customFormat="1" ht="15.75" customHeight="1" x14ac:dyDescent="0.35">
      <c r="I139"/>
      <c r="J139"/>
      <c r="K139"/>
      <c r="L139"/>
      <c r="M139" s="2"/>
      <c r="N139"/>
    </row>
    <row r="140" spans="2:14" ht="15.75" customHeight="1" x14ac:dyDescent="0.35">
      <c r="B140" s="4"/>
      <c r="C140" s="4"/>
      <c r="D140" s="4"/>
      <c r="E140" s="4"/>
      <c r="F140" s="4"/>
      <c r="G140" s="4"/>
    </row>
    <row r="141" spans="2:14" ht="15.75" customHeight="1" x14ac:dyDescent="0.35">
      <c r="B141" s="4"/>
      <c r="C141" s="4"/>
      <c r="D141" s="4"/>
      <c r="E141" s="4"/>
      <c r="F141" s="4"/>
      <c r="G141" s="4"/>
    </row>
    <row r="142" spans="2:14" ht="15.75" customHeight="1" x14ac:dyDescent="0.35">
      <c r="B142" s="4"/>
      <c r="C142" s="4"/>
      <c r="D142" s="4"/>
      <c r="E142" s="4"/>
      <c r="F142" s="4"/>
      <c r="G142" s="4"/>
    </row>
    <row r="143" spans="2:14" ht="15.75" customHeight="1" x14ac:dyDescent="0.35">
      <c r="B143" s="4"/>
      <c r="C143" s="4"/>
      <c r="D143" s="4"/>
      <c r="E143" s="4"/>
      <c r="F143" s="4"/>
      <c r="G143" s="4"/>
    </row>
    <row r="144" spans="2:14" ht="15.75" customHeight="1" x14ac:dyDescent="0.35">
      <c r="B144" s="4"/>
      <c r="C144" s="4"/>
      <c r="D144" s="4"/>
      <c r="E144" s="4"/>
      <c r="F144" s="4"/>
      <c r="G144" s="4"/>
    </row>
    <row r="145" spans="2:7" ht="15.75" customHeight="1" x14ac:dyDescent="0.35">
      <c r="B145" s="4"/>
      <c r="C145" s="4"/>
      <c r="D145" s="4"/>
      <c r="E145" s="4"/>
      <c r="F145" s="4"/>
      <c r="G145" s="4"/>
    </row>
    <row r="146" spans="2:7" ht="15.75" customHeight="1" x14ac:dyDescent="0.35">
      <c r="B146" s="4"/>
      <c r="C146" s="4"/>
      <c r="D146" s="4"/>
      <c r="E146" s="4"/>
      <c r="F146" s="4"/>
      <c r="G146" s="4"/>
    </row>
    <row r="147" spans="2:7" ht="15.75" customHeight="1" x14ac:dyDescent="0.35">
      <c r="B147" s="4"/>
      <c r="C147" s="4"/>
      <c r="D147" s="4"/>
      <c r="E147" s="4"/>
      <c r="F147" s="4"/>
      <c r="G147" s="4"/>
    </row>
    <row r="148" spans="2:7" ht="15.75" customHeight="1" x14ac:dyDescent="0.35">
      <c r="B148" s="4"/>
      <c r="C148" s="4"/>
      <c r="D148" s="4"/>
      <c r="E148" s="4"/>
      <c r="F148" s="4"/>
      <c r="G148" s="4"/>
    </row>
    <row r="149" spans="2:7" ht="15.75" customHeight="1" x14ac:dyDescent="0.35">
      <c r="B149" s="4"/>
      <c r="C149" s="4"/>
      <c r="D149" s="4"/>
      <c r="E149" s="4"/>
      <c r="F149" s="4"/>
      <c r="G149" s="4"/>
    </row>
    <row r="150" spans="2:7" ht="15.75" customHeight="1" x14ac:dyDescent="0.35">
      <c r="B150" s="4"/>
      <c r="C150" s="4"/>
      <c r="D150" s="4"/>
      <c r="E150" s="4"/>
      <c r="F150" s="4"/>
      <c r="G150" s="4"/>
    </row>
    <row r="151" spans="2:7" ht="15.75" customHeight="1" x14ac:dyDescent="0.35">
      <c r="B151" s="4"/>
      <c r="C151" s="4"/>
      <c r="D151" s="4"/>
      <c r="E151" s="4"/>
      <c r="F151" s="4"/>
      <c r="G151" s="4"/>
    </row>
    <row r="152" spans="2:7" ht="15.75" customHeight="1" x14ac:dyDescent="0.35">
      <c r="B152" s="4"/>
      <c r="C152" s="4"/>
      <c r="D152" s="4"/>
      <c r="E152" s="4"/>
      <c r="F152" s="4"/>
      <c r="G152" s="4"/>
    </row>
    <row r="153" spans="2:7" ht="15.75" customHeight="1" x14ac:dyDescent="0.35">
      <c r="B153" s="4"/>
      <c r="C153" s="4"/>
      <c r="D153" s="4"/>
      <c r="E153" s="4"/>
      <c r="F153" s="4"/>
      <c r="G153" s="4"/>
    </row>
    <row r="154" spans="2:7" ht="15.75" customHeight="1" x14ac:dyDescent="0.35">
      <c r="B154" s="4"/>
      <c r="C154" s="4"/>
      <c r="D154" s="4"/>
      <c r="E154" s="4"/>
      <c r="F154" s="4"/>
      <c r="G154" s="4"/>
    </row>
    <row r="155" spans="2:7" ht="15.75" customHeight="1" x14ac:dyDescent="0.35">
      <c r="B155" s="4"/>
      <c r="C155" s="4"/>
      <c r="D155" s="4"/>
      <c r="E155" s="4"/>
      <c r="F155" s="4"/>
      <c r="G155" s="4"/>
    </row>
    <row r="156" spans="2:7" ht="15.75" customHeight="1" x14ac:dyDescent="0.35">
      <c r="B156" s="4"/>
      <c r="C156" s="4"/>
      <c r="D156" s="4"/>
      <c r="E156" s="4"/>
      <c r="F156" s="4"/>
      <c r="G156" s="4"/>
    </row>
    <row r="157" spans="2:7" ht="15.75" customHeight="1" x14ac:dyDescent="0.35">
      <c r="B157" s="4"/>
      <c r="C157" s="4"/>
      <c r="D157" s="4"/>
      <c r="E157" s="4"/>
      <c r="F157" s="4"/>
      <c r="G157" s="4"/>
    </row>
    <row r="158" spans="2:7" ht="15.75" customHeight="1" x14ac:dyDescent="0.35">
      <c r="B158" s="4"/>
      <c r="C158" s="4"/>
      <c r="D158" s="4"/>
      <c r="E158" s="4"/>
      <c r="F158" s="4"/>
      <c r="G158" s="4"/>
    </row>
    <row r="159" spans="2:7" ht="15.75" customHeight="1" x14ac:dyDescent="0.35">
      <c r="B159" s="4"/>
      <c r="C159" s="4"/>
      <c r="D159" s="4"/>
      <c r="E159" s="4"/>
      <c r="F159" s="4"/>
      <c r="G159" s="4"/>
    </row>
    <row r="160" spans="2:7" ht="15.75" customHeight="1" x14ac:dyDescent="0.35">
      <c r="B160" s="4"/>
      <c r="C160" s="4"/>
      <c r="D160" s="4"/>
      <c r="E160" s="4"/>
      <c r="F160" s="4"/>
      <c r="G160" s="4"/>
    </row>
    <row r="161" spans="2:7" ht="15.75" customHeight="1" x14ac:dyDescent="0.35">
      <c r="B161" s="4"/>
      <c r="C161" s="4"/>
      <c r="D161" s="4"/>
      <c r="E161" s="4"/>
      <c r="F161" s="4"/>
      <c r="G161" s="4"/>
    </row>
    <row r="162" spans="2:7" ht="15.75" customHeight="1" x14ac:dyDescent="0.35">
      <c r="B162" s="4"/>
      <c r="C162" s="4"/>
      <c r="D162" s="4"/>
      <c r="E162" s="4"/>
      <c r="F162" s="4"/>
      <c r="G162" s="4"/>
    </row>
    <row r="163" spans="2:7" ht="15.75" customHeight="1" x14ac:dyDescent="0.35">
      <c r="B163" s="4"/>
      <c r="C163" s="4"/>
      <c r="D163" s="4"/>
      <c r="E163" s="4"/>
      <c r="F163" s="4"/>
      <c r="G163" s="4"/>
    </row>
    <row r="164" spans="2:7" ht="15.75" customHeight="1" x14ac:dyDescent="0.35">
      <c r="B164" s="4"/>
      <c r="C164" s="4"/>
      <c r="D164" s="4"/>
      <c r="E164" s="4"/>
      <c r="F164" s="4"/>
      <c r="G164" s="4"/>
    </row>
    <row r="165" spans="2:7" ht="15.75" customHeight="1" x14ac:dyDescent="0.35">
      <c r="B165" s="4"/>
      <c r="C165" s="4"/>
      <c r="D165" s="4"/>
      <c r="E165" s="4"/>
      <c r="F165" s="4"/>
      <c r="G165" s="4"/>
    </row>
    <row r="166" spans="2:7" ht="15.75" customHeight="1" x14ac:dyDescent="0.35">
      <c r="B166" s="4"/>
      <c r="C166" s="4"/>
      <c r="D166" s="4"/>
      <c r="E166" s="4"/>
      <c r="F166" s="4"/>
      <c r="G166" s="4"/>
    </row>
    <row r="167" spans="2:7" ht="15.75" customHeight="1" x14ac:dyDescent="0.35">
      <c r="B167" s="4"/>
      <c r="C167" s="4"/>
      <c r="D167" s="4"/>
      <c r="E167" s="4"/>
      <c r="F167" s="4"/>
      <c r="G167" s="4"/>
    </row>
    <row r="168" spans="2:7" ht="15.75" customHeight="1" x14ac:dyDescent="0.35">
      <c r="B168" s="4"/>
      <c r="C168" s="4"/>
      <c r="D168" s="4"/>
      <c r="E168" s="4"/>
      <c r="F168" s="4"/>
      <c r="G168" s="4"/>
    </row>
    <row r="169" spans="2:7" ht="15.75" customHeight="1" x14ac:dyDescent="0.35">
      <c r="B169" s="4"/>
      <c r="C169" s="4"/>
      <c r="D169" s="4"/>
      <c r="E169" s="4"/>
      <c r="F169" s="4"/>
      <c r="G169" s="4"/>
    </row>
    <row r="170" spans="2:7" ht="15.75" customHeight="1" x14ac:dyDescent="0.35">
      <c r="B170" s="4"/>
      <c r="C170" s="4"/>
      <c r="D170" s="4"/>
      <c r="E170" s="4"/>
      <c r="F170" s="4"/>
      <c r="G170" s="4"/>
    </row>
    <row r="171" spans="2:7" ht="15.75" customHeight="1" x14ac:dyDescent="0.35">
      <c r="B171" s="4"/>
      <c r="C171" s="4"/>
      <c r="D171" s="4"/>
      <c r="E171" s="4"/>
      <c r="F171" s="4"/>
      <c r="G171" s="4"/>
    </row>
    <row r="172" spans="2:7" ht="15.75" customHeight="1" x14ac:dyDescent="0.35">
      <c r="B172" s="4"/>
      <c r="C172" s="4"/>
      <c r="D172" s="4"/>
      <c r="E172" s="4"/>
      <c r="F172" s="4"/>
      <c r="G172" s="4"/>
    </row>
    <row r="173" spans="2:7" ht="15.75" customHeight="1" x14ac:dyDescent="0.35">
      <c r="B173" s="4"/>
      <c r="C173" s="4"/>
      <c r="D173" s="4"/>
      <c r="E173" s="4"/>
      <c r="F173" s="4"/>
      <c r="G173" s="4"/>
    </row>
    <row r="174" spans="2:7" ht="15.75" customHeight="1" x14ac:dyDescent="0.35">
      <c r="B174" s="4"/>
      <c r="C174" s="4"/>
      <c r="D174" s="4"/>
      <c r="E174" s="4"/>
      <c r="F174" s="4"/>
      <c r="G174" s="4"/>
    </row>
    <row r="175" spans="2:7" ht="15.75" customHeight="1" x14ac:dyDescent="0.35">
      <c r="B175" s="4"/>
      <c r="C175" s="4"/>
      <c r="D175" s="4"/>
      <c r="E175" s="4"/>
      <c r="F175" s="4"/>
      <c r="G175" s="4"/>
    </row>
    <row r="176" spans="2:7" ht="15.75" customHeight="1" x14ac:dyDescent="0.35">
      <c r="B176" s="4"/>
      <c r="C176" s="4"/>
      <c r="D176" s="4"/>
      <c r="E176" s="4"/>
      <c r="F176" s="4"/>
      <c r="G176" s="4"/>
    </row>
    <row r="177" spans="2:7" ht="15.75" customHeight="1" x14ac:dyDescent="0.35">
      <c r="B177" s="4"/>
      <c r="C177" s="4"/>
      <c r="D177" s="4"/>
      <c r="E177" s="4"/>
      <c r="F177" s="4"/>
      <c r="G177" s="4"/>
    </row>
    <row r="178" spans="2:7" ht="15.75" customHeight="1" x14ac:dyDescent="0.35">
      <c r="B178" s="4"/>
      <c r="C178" s="4"/>
      <c r="D178" s="4"/>
      <c r="E178" s="4"/>
      <c r="F178" s="4"/>
      <c r="G178" s="4"/>
    </row>
    <row r="179" spans="2:7" ht="15.75" customHeight="1" x14ac:dyDescent="0.35">
      <c r="B179" s="4"/>
      <c r="C179" s="4"/>
      <c r="D179" s="4"/>
      <c r="E179" s="4"/>
      <c r="F179" s="4"/>
      <c r="G179" s="4"/>
    </row>
    <row r="180" spans="2:7" ht="15.75" customHeight="1" x14ac:dyDescent="0.35">
      <c r="B180" s="4"/>
      <c r="C180" s="4"/>
      <c r="D180" s="4"/>
      <c r="E180" s="4"/>
      <c r="F180" s="4"/>
      <c r="G180" s="4"/>
    </row>
    <row r="181" spans="2:7" ht="15.75" customHeight="1" x14ac:dyDescent="0.35">
      <c r="B181" s="4"/>
      <c r="C181" s="4"/>
      <c r="D181" s="4"/>
      <c r="E181" s="4"/>
      <c r="F181" s="4"/>
      <c r="G181" s="4"/>
    </row>
    <row r="182" spans="2:7" ht="15.75" customHeight="1" x14ac:dyDescent="0.35">
      <c r="B182" s="4"/>
      <c r="C182" s="4"/>
      <c r="D182" s="4"/>
      <c r="E182" s="4"/>
      <c r="F182" s="4"/>
      <c r="G182" s="4"/>
    </row>
    <row r="183" spans="2:7" ht="15.75" customHeight="1" x14ac:dyDescent="0.35">
      <c r="B183" s="4"/>
      <c r="C183" s="4"/>
      <c r="D183" s="4"/>
      <c r="E183" s="4"/>
      <c r="F183" s="4"/>
      <c r="G183" s="4"/>
    </row>
    <row r="184" spans="2:7" ht="15.75" customHeight="1" x14ac:dyDescent="0.35">
      <c r="B184" s="4"/>
      <c r="C184" s="4"/>
      <c r="D184" s="4"/>
      <c r="E184" s="4"/>
      <c r="F184" s="4"/>
      <c r="G184" s="4"/>
    </row>
    <row r="185" spans="2:7" ht="15.75" customHeight="1" x14ac:dyDescent="0.35">
      <c r="B185" s="4"/>
      <c r="C185" s="4"/>
      <c r="D185" s="4"/>
      <c r="E185" s="4"/>
      <c r="F185" s="4"/>
      <c r="G185" s="4"/>
    </row>
    <row r="186" spans="2:7" ht="15.75" customHeight="1" x14ac:dyDescent="0.35">
      <c r="B186" s="4"/>
      <c r="C186" s="4"/>
      <c r="D186" s="4"/>
      <c r="E186" s="4"/>
      <c r="F186" s="4"/>
      <c r="G186" s="4"/>
    </row>
    <row r="187" spans="2:7" ht="15.75" customHeight="1" x14ac:dyDescent="0.35">
      <c r="B187" s="4"/>
      <c r="C187" s="4"/>
      <c r="D187" s="4"/>
      <c r="E187" s="4"/>
      <c r="F187" s="4"/>
      <c r="G187" s="4"/>
    </row>
    <row r="188" spans="2:7" ht="15.75" customHeight="1" x14ac:dyDescent="0.35">
      <c r="B188" s="4"/>
      <c r="C188" s="4"/>
      <c r="D188" s="4"/>
      <c r="E188" s="4"/>
      <c r="F188" s="4"/>
      <c r="G188" s="4"/>
    </row>
    <row r="189" spans="2:7" ht="15.75" customHeight="1" x14ac:dyDescent="0.35">
      <c r="B189" s="4"/>
      <c r="C189" s="4"/>
      <c r="D189" s="4"/>
      <c r="E189" s="4"/>
      <c r="F189" s="4"/>
      <c r="G189" s="4"/>
    </row>
    <row r="190" spans="2:7" ht="15.75" customHeight="1" x14ac:dyDescent="0.35">
      <c r="B190" s="4"/>
      <c r="C190" s="4"/>
      <c r="D190" s="4"/>
      <c r="E190" s="4"/>
      <c r="F190" s="4"/>
      <c r="G190" s="4"/>
    </row>
    <row r="191" spans="2:7" ht="15.75" customHeight="1" x14ac:dyDescent="0.35">
      <c r="B191" s="4"/>
      <c r="C191" s="4"/>
      <c r="D191" s="4"/>
      <c r="E191" s="4"/>
      <c r="F191" s="4"/>
      <c r="G191" s="4"/>
    </row>
    <row r="192" spans="2:7" ht="15.75" customHeight="1" x14ac:dyDescent="0.35">
      <c r="B192" s="4"/>
      <c r="C192" s="4"/>
      <c r="D192" s="4"/>
      <c r="E192" s="4"/>
      <c r="F192" s="4"/>
      <c r="G192" s="4"/>
    </row>
    <row r="193" spans="2:7" ht="15.75" customHeight="1" x14ac:dyDescent="0.35">
      <c r="B193" s="4"/>
      <c r="C193" s="4"/>
      <c r="D193" s="4"/>
      <c r="E193" s="4"/>
      <c r="F193" s="4"/>
      <c r="G193" s="4"/>
    </row>
    <row r="194" spans="2:7" ht="15.75" customHeight="1" x14ac:dyDescent="0.35">
      <c r="B194" s="4"/>
      <c r="C194" s="4"/>
      <c r="D194" s="4"/>
      <c r="E194" s="4"/>
      <c r="F194" s="4"/>
      <c r="G194" s="4"/>
    </row>
    <row r="195" spans="2:7" ht="15.75" customHeight="1" x14ac:dyDescent="0.35">
      <c r="B195" s="4"/>
      <c r="C195" s="4"/>
      <c r="D195" s="4"/>
      <c r="E195" s="4"/>
      <c r="F195" s="4"/>
      <c r="G195" s="4"/>
    </row>
    <row r="196" spans="2:7" ht="15.75" customHeight="1" x14ac:dyDescent="0.35">
      <c r="B196" s="4"/>
      <c r="C196" s="4"/>
      <c r="D196" s="4"/>
      <c r="E196" s="4"/>
      <c r="F196" s="4"/>
      <c r="G196" s="4"/>
    </row>
    <row r="197" spans="2:7" ht="15.75" customHeight="1" x14ac:dyDescent="0.35">
      <c r="B197" s="4"/>
      <c r="C197" s="4"/>
      <c r="D197" s="4"/>
      <c r="E197" s="4"/>
      <c r="F197" s="4"/>
      <c r="G197" s="4"/>
    </row>
    <row r="198" spans="2:7" ht="15.75" customHeight="1" x14ac:dyDescent="0.35">
      <c r="B198" s="4"/>
      <c r="C198" s="4"/>
      <c r="D198" s="4"/>
      <c r="E198" s="4"/>
      <c r="F198" s="4"/>
      <c r="G198" s="4"/>
    </row>
    <row r="199" spans="2:7" ht="15.75" customHeight="1" x14ac:dyDescent="0.35">
      <c r="B199" s="4"/>
      <c r="C199" s="4"/>
      <c r="D199" s="4"/>
      <c r="E199" s="4"/>
      <c r="F199" s="4"/>
      <c r="G199" s="4"/>
    </row>
    <row r="200" spans="2:7" ht="15.75" customHeight="1" x14ac:dyDescent="0.35">
      <c r="B200" s="4"/>
      <c r="C200" s="4"/>
      <c r="D200" s="4"/>
      <c r="E200" s="4"/>
      <c r="F200" s="4"/>
      <c r="G200" s="4"/>
    </row>
    <row r="201" spans="2:7" ht="15.75" customHeight="1" x14ac:dyDescent="0.35">
      <c r="B201" s="4"/>
      <c r="C201" s="4"/>
      <c r="D201" s="4"/>
      <c r="E201" s="4"/>
      <c r="F201" s="4"/>
      <c r="G201" s="4"/>
    </row>
    <row r="202" spans="2:7" ht="15.75" customHeight="1" x14ac:dyDescent="0.35">
      <c r="B202" s="4"/>
      <c r="C202" s="4"/>
      <c r="D202" s="4"/>
      <c r="E202" s="4"/>
      <c r="F202" s="4"/>
      <c r="G202" s="4"/>
    </row>
    <row r="203" spans="2:7" ht="15.75" customHeight="1" x14ac:dyDescent="0.35"/>
    <row r="204" spans="2:7" ht="15.75" customHeight="1" x14ac:dyDescent="0.35"/>
    <row r="205" spans="2:7" ht="15.75" customHeight="1" x14ac:dyDescent="0.35"/>
    <row r="206" spans="2:7" ht="15.75" customHeight="1" x14ac:dyDescent="0.35"/>
    <row r="207" spans="2:7" ht="15.75" customHeight="1" x14ac:dyDescent="0.35"/>
    <row r="208" spans="2:7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</sheetData>
  <mergeCells count="11">
    <mergeCell ref="A1:N1"/>
    <mergeCell ref="J12:K12"/>
    <mergeCell ref="H70:H76"/>
    <mergeCell ref="H78:H84"/>
    <mergeCell ref="H34:H47"/>
    <mergeCell ref="H22:H30"/>
    <mergeCell ref="H49:H52"/>
    <mergeCell ref="H54:H61"/>
    <mergeCell ref="H63:H67"/>
    <mergeCell ref="D18:F18"/>
    <mergeCell ref="I15:M15"/>
  </mergeCells>
  <phoneticPr fontId="6" type="noConversion"/>
  <conditionalFormatting sqref="F96:G96 F20:F24">
    <cfRule type="cellIs" dxfId="45" priority="75" operator="greaterThan">
      <formula>0</formula>
    </cfRule>
    <cfRule type="cellIs" dxfId="44" priority="76" operator="lessThan">
      <formula>0</formula>
    </cfRule>
  </conditionalFormatting>
  <conditionalFormatting sqref="F26:F30">
    <cfRule type="cellIs" dxfId="43" priority="63" operator="greaterThan">
      <formula>0</formula>
    </cfRule>
    <cfRule type="cellIs" dxfId="42" priority="64" operator="lessThan">
      <formula>0</formula>
    </cfRule>
  </conditionalFormatting>
  <conditionalFormatting sqref="F32:F35">
    <cfRule type="cellIs" dxfId="41" priority="61" operator="greaterThan">
      <formula>0</formula>
    </cfRule>
    <cfRule type="cellIs" dxfId="40" priority="62" operator="lessThan">
      <formula>0</formula>
    </cfRule>
  </conditionalFormatting>
  <conditionalFormatting sqref="F97:G97">
    <cfRule type="cellIs" dxfId="39" priority="59" operator="greaterThan">
      <formula>0</formula>
    </cfRule>
    <cfRule type="cellIs" dxfId="38" priority="60" operator="lessThan">
      <formula>0</formula>
    </cfRule>
  </conditionalFormatting>
  <conditionalFormatting sqref="F38:F41">
    <cfRule type="cellIs" dxfId="37" priority="55" operator="greaterThan">
      <formula>0</formula>
    </cfRule>
    <cfRule type="cellIs" dxfId="36" priority="56" operator="lessThan">
      <formula>0</formula>
    </cfRule>
  </conditionalFormatting>
  <conditionalFormatting sqref="F44:F47">
    <cfRule type="cellIs" dxfId="35" priority="51" operator="greaterThan">
      <formula>0</formula>
    </cfRule>
    <cfRule type="cellIs" dxfId="34" priority="52" operator="lessThan">
      <formula>0</formula>
    </cfRule>
  </conditionalFormatting>
  <conditionalFormatting sqref="F48:F51">
    <cfRule type="cellIs" dxfId="33" priority="49" operator="greaterThan">
      <formula>0</formula>
    </cfRule>
    <cfRule type="cellIs" dxfId="32" priority="50" operator="lessThan">
      <formula>0</formula>
    </cfRule>
  </conditionalFormatting>
  <conditionalFormatting sqref="F52:F55">
    <cfRule type="cellIs" dxfId="31" priority="47" operator="greaterThan">
      <formula>0</formula>
    </cfRule>
    <cfRule type="cellIs" dxfId="30" priority="48" operator="lessThan">
      <formula>0</formula>
    </cfRule>
  </conditionalFormatting>
  <conditionalFormatting sqref="F56:F59">
    <cfRule type="cellIs" dxfId="29" priority="45" operator="greaterThan">
      <formula>0</formula>
    </cfRule>
    <cfRule type="cellIs" dxfId="28" priority="46" operator="lessThan">
      <formula>0</formula>
    </cfRule>
  </conditionalFormatting>
  <conditionalFormatting sqref="F60:F62">
    <cfRule type="cellIs" dxfId="27" priority="43" operator="greaterThan">
      <formula>0</formula>
    </cfRule>
    <cfRule type="cellIs" dxfId="26" priority="44" operator="lessThan">
      <formula>0</formula>
    </cfRule>
  </conditionalFormatting>
  <conditionalFormatting sqref="F36">
    <cfRule type="cellIs" dxfId="25" priority="39" operator="greaterThan">
      <formula>0</formula>
    </cfRule>
    <cfRule type="cellIs" dxfId="24" priority="40" operator="lessThan">
      <formula>0</formula>
    </cfRule>
  </conditionalFormatting>
  <conditionalFormatting sqref="F42">
    <cfRule type="cellIs" dxfId="23" priority="37" operator="greaterThan">
      <formula>0</formula>
    </cfRule>
    <cfRule type="cellIs" dxfId="22" priority="38" operator="lessThan">
      <formula>0</formula>
    </cfRule>
  </conditionalFormatting>
  <conditionalFormatting sqref="F63">
    <cfRule type="cellIs" dxfId="21" priority="35" operator="greaterThan">
      <formula>0</formula>
    </cfRule>
    <cfRule type="cellIs" dxfId="20" priority="36" operator="lessThan">
      <formula>0</formula>
    </cfRule>
  </conditionalFormatting>
  <conditionalFormatting sqref="F65:F68">
    <cfRule type="cellIs" dxfId="19" priority="33" operator="greaterThan">
      <formula>0</formula>
    </cfRule>
    <cfRule type="cellIs" dxfId="18" priority="34" operator="lessThan">
      <formula>0</formula>
    </cfRule>
  </conditionalFormatting>
  <conditionalFormatting sqref="F69:F72">
    <cfRule type="cellIs" dxfId="17" priority="31" operator="greaterThan">
      <formula>0</formula>
    </cfRule>
    <cfRule type="cellIs" dxfId="16" priority="32" operator="lessThan">
      <formula>0</formula>
    </cfRule>
  </conditionalFormatting>
  <conditionalFormatting sqref="F73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F74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F76:F79">
    <cfRule type="cellIs" dxfId="11" priority="23" operator="greaterThan">
      <formula>0</formula>
    </cfRule>
    <cfRule type="cellIs" dxfId="10" priority="24" operator="lessThan">
      <formula>0</formula>
    </cfRule>
  </conditionalFormatting>
  <conditionalFormatting sqref="F80:F85">
    <cfRule type="cellIs" dxfId="9" priority="21" operator="greaterThan">
      <formula>0</formula>
    </cfRule>
    <cfRule type="cellIs" dxfId="8" priority="22" operator="lessThan">
      <formula>0</formula>
    </cfRule>
  </conditionalFormatting>
  <conditionalFormatting sqref="F86:F89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F91:F94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F95">
    <cfRule type="cellIs" dxfId="3" priority="11" operator="greaterThan">
      <formula>0</formula>
    </cfRule>
    <cfRule type="cellIs" dxfId="2" priority="12" operator="lessThan">
      <formula>0</formula>
    </cfRule>
  </conditionalFormatting>
  <conditionalFormatting sqref="M18:M48">
    <cfRule type="cellIs" dxfId="1" priority="1" operator="greaterThan">
      <formula>0</formula>
    </cfRule>
  </conditionalFormatting>
  <conditionalFormatting sqref="M18:M48">
    <cfRule type="cellIs" dxfId="0" priority="2" operator="lessThan">
      <formula>0</formula>
    </cfRule>
  </conditionalFormatting>
  <hyperlinks>
    <hyperlink ref="D18:F18" location="Receitas!A1" display="Ver lançamentos" xr:uid="{7613E0DB-03DB-4074-90BD-16DEA12C25D8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B3FA-6BE0-40D4-8621-BD7DF3C8EC26}">
  <sheetPr>
    <tabColor rgb="FFCC9900"/>
  </sheetPr>
  <dimension ref="B1:L48"/>
  <sheetViews>
    <sheetView tabSelected="1" zoomScale="85" zoomScaleNormal="85" workbookViewId="0">
      <selection activeCell="H39" sqref="H39"/>
    </sheetView>
  </sheetViews>
  <sheetFormatPr defaultRowHeight="15.5" x14ac:dyDescent="0.35"/>
  <cols>
    <col min="1" max="1" width="3.5" style="88" customWidth="1"/>
    <col min="2" max="2" width="18.75" style="88" customWidth="1"/>
    <col min="3" max="3" width="14.33203125" style="88" customWidth="1"/>
    <col min="4" max="4" width="3.75" style="88" customWidth="1"/>
    <col min="5" max="5" width="46.58203125" style="88" customWidth="1"/>
    <col min="6" max="6" width="14.33203125" style="88" bestFit="1" customWidth="1"/>
    <col min="7" max="7" width="15.25" style="88" bestFit="1" customWidth="1"/>
    <col min="8" max="8" width="20.58203125" style="88" bestFit="1" customWidth="1"/>
    <col min="9" max="9" width="6" style="167" bestFit="1" customWidth="1"/>
    <col min="10" max="10" width="8.6640625" style="158" customWidth="1"/>
    <col min="11" max="11" width="8.6640625" style="88"/>
    <col min="12" max="12" width="13.25" style="88" bestFit="1" customWidth="1"/>
    <col min="13" max="16384" width="8.6640625" style="88"/>
  </cols>
  <sheetData>
    <row r="1" spans="2:10" ht="16" thickBot="1" x14ac:dyDescent="0.4"/>
    <row r="2" spans="2:10" x14ac:dyDescent="0.35">
      <c r="B2" s="89" t="s">
        <v>115</v>
      </c>
      <c r="C2" s="162">
        <v>23085.91</v>
      </c>
      <c r="E2" s="94" t="s">
        <v>118</v>
      </c>
      <c r="F2" s="95" t="s">
        <v>119</v>
      </c>
      <c r="G2" s="95" t="s">
        <v>120</v>
      </c>
      <c r="H2" s="96" t="s">
        <v>121</v>
      </c>
      <c r="I2" s="163" t="s">
        <v>159</v>
      </c>
      <c r="J2" s="159" t="s">
        <v>166</v>
      </c>
    </row>
    <row r="3" spans="2:10" x14ac:dyDescent="0.35">
      <c r="B3" s="90"/>
      <c r="C3" s="91"/>
      <c r="E3" s="97" t="s">
        <v>117</v>
      </c>
      <c r="F3" s="98">
        <v>132353</v>
      </c>
      <c r="G3" s="113">
        <v>60673.009999999995</v>
      </c>
      <c r="H3" s="114">
        <f>+G3*3</f>
        <v>182019.02999999997</v>
      </c>
      <c r="I3" s="168">
        <f>+H3/$H$6</f>
        <v>0.64293837472422777</v>
      </c>
      <c r="J3" s="158" t="s">
        <v>143</v>
      </c>
    </row>
    <row r="4" spans="2:10" x14ac:dyDescent="0.35">
      <c r="B4" s="90"/>
      <c r="C4" s="91"/>
      <c r="E4" s="97" t="s">
        <v>126</v>
      </c>
      <c r="F4" s="98">
        <v>6801.11</v>
      </c>
      <c r="G4" s="113">
        <v>8667.4500000000007</v>
      </c>
      <c r="H4" s="114">
        <v>0</v>
      </c>
      <c r="I4" s="168">
        <f t="shared" ref="I4:I5" si="0">+H4/$H$6</f>
        <v>0</v>
      </c>
      <c r="J4" s="158" t="s">
        <v>167</v>
      </c>
    </row>
    <row r="5" spans="2:10" ht="16" thickBot="1" x14ac:dyDescent="0.4">
      <c r="B5" s="90"/>
      <c r="C5" s="91"/>
      <c r="E5" s="99" t="s">
        <v>139</v>
      </c>
      <c r="F5" s="100">
        <v>0</v>
      </c>
      <c r="G5" s="115">
        <v>0</v>
      </c>
      <c r="H5" s="116">
        <f>+C11+C2-H29</f>
        <v>101085.91</v>
      </c>
      <c r="I5" s="168">
        <f t="shared" si="0"/>
        <v>0.3570616252757724</v>
      </c>
      <c r="J5" s="158" t="s">
        <v>144</v>
      </c>
    </row>
    <row r="6" spans="2:10" ht="16.5" thickTop="1" thickBot="1" x14ac:dyDescent="0.4">
      <c r="B6" s="90"/>
      <c r="C6" s="91"/>
      <c r="E6" s="101" t="s">
        <v>122</v>
      </c>
      <c r="F6" s="102">
        <f>SUM(F3:F5)</f>
        <v>139154.10999999999</v>
      </c>
      <c r="G6" s="102">
        <f>SUM(G3:G5)</f>
        <v>69340.459999999992</v>
      </c>
      <c r="H6" s="117">
        <f>SUM(H3:H5)</f>
        <v>283104.93999999994</v>
      </c>
      <c r="I6" s="172">
        <f>+H6/(H6+H30)</f>
        <v>0.66798390826294174</v>
      </c>
      <c r="J6" s="158" t="s">
        <v>160</v>
      </c>
    </row>
    <row r="7" spans="2:10" ht="5.5" customHeight="1" thickBot="1" x14ac:dyDescent="0.4">
      <c r="B7" s="90"/>
      <c r="C7" s="91"/>
      <c r="E7" s="103"/>
      <c r="F7" s="103"/>
      <c r="G7" s="103"/>
      <c r="H7" s="103"/>
    </row>
    <row r="8" spans="2:10" x14ac:dyDescent="0.35">
      <c r="B8" s="90"/>
      <c r="C8" s="91"/>
      <c r="E8" s="104" t="s">
        <v>124</v>
      </c>
      <c r="F8" s="105" t="s">
        <v>119</v>
      </c>
      <c r="G8" s="105" t="s">
        <v>120</v>
      </c>
      <c r="H8" s="106" t="s">
        <v>121</v>
      </c>
      <c r="I8" s="164" t="s">
        <v>159</v>
      </c>
    </row>
    <row r="9" spans="2:10" ht="16" thickBot="1" x14ac:dyDescent="0.4">
      <c r="B9" s="92"/>
      <c r="C9" s="93"/>
      <c r="E9" s="107" t="s">
        <v>25</v>
      </c>
      <c r="F9" s="108">
        <v>-1192</v>
      </c>
      <c r="G9" s="119">
        <v>-1212</v>
      </c>
      <c r="H9" s="120">
        <f>-1212*1.1</f>
        <v>-1333.2</v>
      </c>
      <c r="I9" s="169">
        <f>+H9/$H$22</f>
        <v>7.9219572411110082E-3</v>
      </c>
      <c r="J9" s="158" t="s">
        <v>145</v>
      </c>
    </row>
    <row r="10" spans="2:10" ht="16" thickBot="1" x14ac:dyDescent="0.4">
      <c r="E10" s="107" t="s">
        <v>26</v>
      </c>
      <c r="F10" s="108">
        <v>-15026</v>
      </c>
      <c r="G10" s="119">
        <v>-11002.04</v>
      </c>
      <c r="H10" s="120">
        <f>+G10*1.1</f>
        <v>-12102.244000000002</v>
      </c>
      <c r="I10" s="169">
        <f t="shared" ref="I10:I21" si="1">+H10/$H$22</f>
        <v>7.1912285845703763E-2</v>
      </c>
      <c r="J10" s="158" t="s">
        <v>145</v>
      </c>
    </row>
    <row r="11" spans="2:10" x14ac:dyDescent="0.35">
      <c r="B11" s="89" t="s">
        <v>116</v>
      </c>
      <c r="C11" s="162">
        <v>161127.06</v>
      </c>
      <c r="E11" s="107" t="s">
        <v>135</v>
      </c>
      <c r="F11" s="108">
        <v>0</v>
      </c>
      <c r="G11" s="119">
        <v>0</v>
      </c>
      <c r="H11" s="120">
        <v>-30000</v>
      </c>
      <c r="I11" s="169">
        <f t="shared" si="1"/>
        <v>0.17826186411140882</v>
      </c>
      <c r="J11" s="158" t="s">
        <v>155</v>
      </c>
    </row>
    <row r="12" spans="2:10" x14ac:dyDescent="0.35">
      <c r="B12" s="90"/>
      <c r="C12" s="91"/>
      <c r="E12" s="107" t="s">
        <v>109</v>
      </c>
      <c r="F12" s="108">
        <v>-2934.33</v>
      </c>
      <c r="G12" s="119">
        <v>-261.47000000000003</v>
      </c>
      <c r="H12" s="120">
        <f>+F12*2</f>
        <v>-5868.66</v>
      </c>
      <c r="I12" s="169">
        <f t="shared" si="1"/>
        <v>3.487194238120201E-2</v>
      </c>
      <c r="J12" s="158" t="s">
        <v>156</v>
      </c>
    </row>
    <row r="13" spans="2:10" x14ac:dyDescent="0.35">
      <c r="B13" s="90"/>
      <c r="C13" s="91"/>
      <c r="E13" s="107" t="s">
        <v>105</v>
      </c>
      <c r="F13" s="108">
        <v>-1100</v>
      </c>
      <c r="G13" s="119">
        <v>-577.62</v>
      </c>
      <c r="H13" s="120">
        <f>+G13*3</f>
        <v>-1732.8600000000001</v>
      </c>
      <c r="I13" s="169">
        <f t="shared" si="1"/>
        <v>1.0296761794803197E-2</v>
      </c>
      <c r="J13" s="158" t="s">
        <v>169</v>
      </c>
    </row>
    <row r="14" spans="2:10" x14ac:dyDescent="0.35">
      <c r="B14" s="90"/>
      <c r="C14" s="91"/>
      <c r="E14" s="107" t="s">
        <v>19</v>
      </c>
      <c r="F14" s="108">
        <v>-8268</v>
      </c>
      <c r="G14" s="119">
        <v>-3600</v>
      </c>
      <c r="H14" s="120">
        <f>+G14*3</f>
        <v>-10800</v>
      </c>
      <c r="I14" s="169">
        <f t="shared" si="1"/>
        <v>6.4174271080107176E-2</v>
      </c>
      <c r="J14" s="158" t="s">
        <v>168</v>
      </c>
    </row>
    <row r="15" spans="2:10" ht="16" thickBot="1" x14ac:dyDescent="0.4">
      <c r="B15" s="92"/>
      <c r="C15" s="93"/>
      <c r="E15" s="107" t="s">
        <v>20</v>
      </c>
      <c r="F15" s="108">
        <v>-4185</v>
      </c>
      <c r="G15" s="119">
        <v>-1864.3400000000001</v>
      </c>
      <c r="H15" s="120">
        <v>-500</v>
      </c>
      <c r="I15" s="169">
        <f t="shared" si="1"/>
        <v>2.9710310685234801E-3</v>
      </c>
      <c r="J15" s="158" t="s">
        <v>146</v>
      </c>
    </row>
    <row r="16" spans="2:10" x14ac:dyDescent="0.35">
      <c r="E16" s="107" t="s">
        <v>21</v>
      </c>
      <c r="F16" s="108">
        <v>-390.76</v>
      </c>
      <c r="G16" s="119">
        <v>-1886.8799999999999</v>
      </c>
      <c r="H16" s="120">
        <v>-500</v>
      </c>
      <c r="I16" s="169">
        <f t="shared" si="1"/>
        <v>2.9710310685234801E-3</v>
      </c>
      <c r="J16" s="158" t="s">
        <v>147</v>
      </c>
    </row>
    <row r="17" spans="5:12" x14ac:dyDescent="0.35">
      <c r="E17" s="107" t="s">
        <v>27</v>
      </c>
      <c r="F17" s="108">
        <v>-11600</v>
      </c>
      <c r="G17" s="119">
        <v>0</v>
      </c>
      <c r="H17" s="120">
        <f>+F17</f>
        <v>-11600</v>
      </c>
      <c r="I17" s="169">
        <f t="shared" si="1"/>
        <v>6.8927920789744745E-2</v>
      </c>
      <c r="J17" s="158" t="s">
        <v>148</v>
      </c>
    </row>
    <row r="18" spans="5:12" x14ac:dyDescent="0.35">
      <c r="E18" s="107" t="s">
        <v>39</v>
      </c>
      <c r="F18" s="108">
        <v>-40148.3293185</v>
      </c>
      <c r="G18" s="119">
        <v>-16169.41</v>
      </c>
      <c r="H18" s="120">
        <f>+G18*3</f>
        <v>-48508.229999999996</v>
      </c>
      <c r="I18" s="169">
        <f t="shared" si="1"/>
        <v>0.28823891681816544</v>
      </c>
      <c r="J18" s="158" t="s">
        <v>168</v>
      </c>
    </row>
    <row r="19" spans="5:12" x14ac:dyDescent="0.35">
      <c r="E19" s="107" t="s">
        <v>24</v>
      </c>
      <c r="F19" s="108">
        <v>-9754.5499999999993</v>
      </c>
      <c r="G19" s="119">
        <v>-8567.09</v>
      </c>
      <c r="H19" s="120">
        <f>+G19</f>
        <v>-8567.09</v>
      </c>
      <c r="I19" s="169">
        <f t="shared" si="1"/>
        <v>5.0906181113673642E-2</v>
      </c>
      <c r="J19" s="158" t="s">
        <v>149</v>
      </c>
    </row>
    <row r="20" spans="5:12" x14ac:dyDescent="0.35">
      <c r="E20" s="107" t="s">
        <v>23</v>
      </c>
      <c r="F20" s="108">
        <v>-10378</v>
      </c>
      <c r="G20" s="119">
        <v>-49.86</v>
      </c>
      <c r="H20" s="120">
        <f>+F20*1.5</f>
        <v>-15567</v>
      </c>
      <c r="I20" s="169">
        <f t="shared" si="1"/>
        <v>9.2500081287410038E-2</v>
      </c>
      <c r="J20" s="158" t="s">
        <v>150</v>
      </c>
      <c r="L20" s="148"/>
    </row>
    <row r="21" spans="5:12" ht="16" thickBot="1" x14ac:dyDescent="0.4">
      <c r="E21" s="109" t="s">
        <v>88</v>
      </c>
      <c r="F21" s="110">
        <v>-4400</v>
      </c>
      <c r="G21" s="110">
        <v>-7070.82</v>
      </c>
      <c r="H21" s="121">
        <f>+G21*3</f>
        <v>-21212.46</v>
      </c>
      <c r="I21" s="169">
        <f t="shared" si="1"/>
        <v>0.12604575539962315</v>
      </c>
      <c r="J21" s="158" t="s">
        <v>168</v>
      </c>
      <c r="L21" s="148"/>
    </row>
    <row r="22" spans="5:12" ht="16.5" thickTop="1" thickBot="1" x14ac:dyDescent="0.4">
      <c r="E22" s="111" t="s">
        <v>123</v>
      </c>
      <c r="F22" s="112">
        <f>SUM(F9:F21)</f>
        <v>-109376.96931850001</v>
      </c>
      <c r="G22" s="112">
        <f>SUM(G9:G21)</f>
        <v>-52261.530000000006</v>
      </c>
      <c r="H22" s="118">
        <f>SUM(H9:H21)</f>
        <v>-168291.74400000001</v>
      </c>
      <c r="I22" s="173">
        <f>+H22/(H22+H44)</f>
        <v>0.46790969597156196</v>
      </c>
      <c r="J22" s="158" t="s">
        <v>161</v>
      </c>
      <c r="L22" s="148"/>
    </row>
    <row r="23" spans="5:12" ht="5.5" customHeight="1" thickBot="1" x14ac:dyDescent="0.4">
      <c r="L23" s="148"/>
    </row>
    <row r="24" spans="5:12" ht="16" thickBot="1" x14ac:dyDescent="0.4">
      <c r="E24" s="153" t="s">
        <v>140</v>
      </c>
      <c r="F24" s="154">
        <f>+F6+F22</f>
        <v>29777.140681499979</v>
      </c>
      <c r="G24" s="154">
        <f>+G6+G22</f>
        <v>17078.929999999986</v>
      </c>
      <c r="H24" s="161">
        <f>+H6+H22</f>
        <v>114813.19599999994</v>
      </c>
      <c r="I24" s="158"/>
      <c r="J24" s="158" t="s">
        <v>177</v>
      </c>
      <c r="L24" s="148"/>
    </row>
    <row r="25" spans="5:12" ht="16" thickBot="1" x14ac:dyDescent="0.4">
      <c r="L25" s="148"/>
    </row>
    <row r="26" spans="5:12" x14ac:dyDescent="0.35">
      <c r="E26" s="122" t="s">
        <v>125</v>
      </c>
      <c r="F26" s="123" t="s">
        <v>119</v>
      </c>
      <c r="G26" s="123" t="s">
        <v>120</v>
      </c>
      <c r="H26" s="124" t="s">
        <v>121</v>
      </c>
      <c r="I26" s="165" t="s">
        <v>159</v>
      </c>
      <c r="L26" s="148"/>
    </row>
    <row r="27" spans="5:12" x14ac:dyDescent="0.35">
      <c r="E27" s="125" t="s">
        <v>17</v>
      </c>
      <c r="F27" s="126">
        <v>28794</v>
      </c>
      <c r="G27" s="126">
        <v>0</v>
      </c>
      <c r="H27" s="127">
        <f>+F27*2</f>
        <v>57588</v>
      </c>
      <c r="I27" s="170">
        <f>+H27/$H$30</f>
        <v>0.40925257040717605</v>
      </c>
      <c r="J27" s="158" t="s">
        <v>151</v>
      </c>
      <c r="L27" s="148"/>
    </row>
    <row r="28" spans="5:12" x14ac:dyDescent="0.35">
      <c r="E28" s="125" t="s">
        <v>15</v>
      </c>
      <c r="F28" s="126">
        <v>0</v>
      </c>
      <c r="G28" s="126">
        <v>200</v>
      </c>
      <c r="H28" s="127">
        <f>+F28*2</f>
        <v>0</v>
      </c>
      <c r="I28" s="170">
        <f t="shared" ref="I28:I29" si="2">+H28/$H$30</f>
        <v>0</v>
      </c>
      <c r="J28" s="158" t="s">
        <v>170</v>
      </c>
      <c r="L28" s="148"/>
    </row>
    <row r="29" spans="5:12" ht="16" thickBot="1" x14ac:dyDescent="0.4">
      <c r="E29" s="128" t="s">
        <v>138</v>
      </c>
      <c r="F29" s="129">
        <v>0</v>
      </c>
      <c r="G29" s="129">
        <v>0</v>
      </c>
      <c r="H29" s="130">
        <v>83127.06</v>
      </c>
      <c r="I29" s="170">
        <f t="shared" si="2"/>
        <v>0.590747429592824</v>
      </c>
      <c r="L29" s="148"/>
    </row>
    <row r="30" spans="5:12" ht="16.5" thickTop="1" thickBot="1" x14ac:dyDescent="0.4">
      <c r="E30" s="131" t="s">
        <v>127</v>
      </c>
      <c r="F30" s="132">
        <f>SUM(F26:F29)</f>
        <v>28794</v>
      </c>
      <c r="G30" s="132">
        <f t="shared" ref="G30:H30" si="3">SUM(G26:G29)</f>
        <v>200</v>
      </c>
      <c r="H30" s="133">
        <f t="shared" si="3"/>
        <v>140715.06</v>
      </c>
      <c r="I30" s="175">
        <f>+H30/(H30+H6)</f>
        <v>0.33201609173705821</v>
      </c>
      <c r="J30" s="158" t="s">
        <v>162</v>
      </c>
      <c r="L30" s="148"/>
    </row>
    <row r="31" spans="5:12" ht="5.5" customHeight="1" thickBot="1" x14ac:dyDescent="0.4">
      <c r="E31" s="103"/>
      <c r="F31" s="103"/>
      <c r="G31" s="103"/>
      <c r="H31" s="103"/>
      <c r="L31" s="148"/>
    </row>
    <row r="32" spans="5:12" x14ac:dyDescent="0.35">
      <c r="E32" s="134" t="s">
        <v>128</v>
      </c>
      <c r="F32" s="135" t="s">
        <v>119</v>
      </c>
      <c r="G32" s="135" t="s">
        <v>120</v>
      </c>
      <c r="H32" s="136" t="s">
        <v>121</v>
      </c>
      <c r="I32" s="166" t="s">
        <v>159</v>
      </c>
      <c r="L32" s="148"/>
    </row>
    <row r="33" spans="5:12" x14ac:dyDescent="0.35">
      <c r="E33" s="137" t="s">
        <v>136</v>
      </c>
      <c r="F33" s="138">
        <v>0</v>
      </c>
      <c r="G33" s="139">
        <v>0</v>
      </c>
      <c r="H33" s="140">
        <f>-60*750</f>
        <v>-45000</v>
      </c>
      <c r="I33" s="171">
        <f>+H33/$H$44</f>
        <v>0.23513993961606347</v>
      </c>
      <c r="J33" s="158" t="s">
        <v>171</v>
      </c>
      <c r="L33" s="148"/>
    </row>
    <row r="34" spans="5:12" x14ac:dyDescent="0.35">
      <c r="E34" s="137" t="s">
        <v>130</v>
      </c>
      <c r="F34" s="138">
        <v>0</v>
      </c>
      <c r="G34" s="139">
        <v>-2707.5</v>
      </c>
      <c r="H34" s="140">
        <f>-6000*5</f>
        <v>-30000</v>
      </c>
      <c r="I34" s="171">
        <f t="shared" ref="I34:I43" si="4">+H34/$H$44</f>
        <v>0.15675995974404233</v>
      </c>
      <c r="J34" s="158" t="s">
        <v>158</v>
      </c>
      <c r="L34" s="148"/>
    </row>
    <row r="35" spans="5:12" x14ac:dyDescent="0.35">
      <c r="E35" s="137" t="s">
        <v>129</v>
      </c>
      <c r="F35" s="138">
        <v>0</v>
      </c>
      <c r="G35" s="139">
        <v>-12111.23</v>
      </c>
      <c r="H35" s="140">
        <v>-6000</v>
      </c>
      <c r="I35" s="171">
        <f t="shared" si="4"/>
        <v>3.1351991948808465E-2</v>
      </c>
      <c r="J35" s="158" t="s">
        <v>172</v>
      </c>
      <c r="L35" s="148"/>
    </row>
    <row r="36" spans="5:12" x14ac:dyDescent="0.35">
      <c r="E36" s="137" t="s">
        <v>134</v>
      </c>
      <c r="F36" s="138">
        <v>-12000</v>
      </c>
      <c r="G36" s="139">
        <v>0</v>
      </c>
      <c r="H36" s="140">
        <v>-24000</v>
      </c>
      <c r="I36" s="171">
        <f t="shared" si="4"/>
        <v>0.12540796779523386</v>
      </c>
      <c r="J36" s="158" t="s">
        <v>173</v>
      </c>
      <c r="L36" s="148"/>
    </row>
    <row r="37" spans="5:12" x14ac:dyDescent="0.35">
      <c r="E37" s="149" t="s">
        <v>87</v>
      </c>
      <c r="F37" s="150">
        <v>-2362</v>
      </c>
      <c r="G37" s="151">
        <v>-900</v>
      </c>
      <c r="H37" s="152">
        <f>+G37*3</f>
        <v>-2700</v>
      </c>
      <c r="I37" s="171">
        <f t="shared" si="4"/>
        <v>1.4108396376963808E-2</v>
      </c>
      <c r="J37" s="158" t="s">
        <v>168</v>
      </c>
      <c r="L37" s="148"/>
    </row>
    <row r="38" spans="5:12" x14ac:dyDescent="0.35">
      <c r="E38" s="149" t="s">
        <v>137</v>
      </c>
      <c r="F38" s="150">
        <v>-8000</v>
      </c>
      <c r="G38" s="151">
        <v>-5707.33</v>
      </c>
      <c r="H38" s="152">
        <v>-16000</v>
      </c>
      <c r="I38" s="171">
        <f t="shared" si="4"/>
        <v>8.360531186348924E-2</v>
      </c>
      <c r="J38" s="158" t="s">
        <v>174</v>
      </c>
      <c r="L38" s="148"/>
    </row>
    <row r="39" spans="5:12" x14ac:dyDescent="0.35">
      <c r="E39" s="137" t="s">
        <v>38</v>
      </c>
      <c r="F39" s="138">
        <v>-24520</v>
      </c>
      <c r="G39" s="139">
        <v>-23973.599999999999</v>
      </c>
      <c r="H39" s="140">
        <f>+F39</f>
        <v>-24520</v>
      </c>
      <c r="I39" s="171">
        <f t="shared" si="4"/>
        <v>0.12812514043079726</v>
      </c>
      <c r="J39" s="158" t="s">
        <v>175</v>
      </c>
      <c r="L39" s="148"/>
    </row>
    <row r="40" spans="5:12" x14ac:dyDescent="0.35">
      <c r="E40" s="137" t="s">
        <v>132</v>
      </c>
      <c r="F40" s="138">
        <v>0</v>
      </c>
      <c r="G40" s="139">
        <v>0</v>
      </c>
      <c r="H40" s="140">
        <v>-7500</v>
      </c>
      <c r="I40" s="171">
        <f t="shared" si="4"/>
        <v>3.9189989936010583E-2</v>
      </c>
      <c r="J40" s="158" t="s">
        <v>152</v>
      </c>
    </row>
    <row r="41" spans="5:12" x14ac:dyDescent="0.35">
      <c r="E41" s="137" t="s">
        <v>131</v>
      </c>
      <c r="F41" s="138">
        <v>0</v>
      </c>
      <c r="G41" s="139">
        <v>-2783.85</v>
      </c>
      <c r="H41" s="140">
        <f>+G41*2</f>
        <v>-5567.7</v>
      </c>
      <c r="I41" s="171">
        <f t="shared" si="4"/>
        <v>2.9093080928896814E-2</v>
      </c>
      <c r="J41" s="158" t="s">
        <v>157</v>
      </c>
    </row>
    <row r="42" spans="5:12" x14ac:dyDescent="0.35">
      <c r="E42" s="137" t="s">
        <v>133</v>
      </c>
      <c r="F42" s="138">
        <v>0</v>
      </c>
      <c r="G42" s="139">
        <v>0</v>
      </c>
      <c r="H42" s="140">
        <f>+H41</f>
        <v>-5567.7</v>
      </c>
      <c r="I42" s="171">
        <f t="shared" si="4"/>
        <v>2.9093080928896814E-2</v>
      </c>
      <c r="J42" s="158" t="s">
        <v>153</v>
      </c>
    </row>
    <row r="43" spans="5:12" ht="16" thickBot="1" x14ac:dyDescent="0.4">
      <c r="E43" s="141" t="s">
        <v>165</v>
      </c>
      <c r="F43" s="142">
        <v>0</v>
      </c>
      <c r="G43" s="143">
        <v>0</v>
      </c>
      <c r="H43" s="144">
        <f>+H39</f>
        <v>-24520</v>
      </c>
      <c r="I43" s="171">
        <f t="shared" si="4"/>
        <v>0.12812514043079726</v>
      </c>
      <c r="J43" s="158" t="s">
        <v>154</v>
      </c>
    </row>
    <row r="44" spans="5:12" ht="16.5" thickTop="1" thickBot="1" x14ac:dyDescent="0.4">
      <c r="E44" s="145" t="s">
        <v>123</v>
      </c>
      <c r="F44" s="146">
        <f>SUM(F33:F43)</f>
        <v>-46882</v>
      </c>
      <c r="G44" s="146">
        <f>SUM(G33:G43)</f>
        <v>-48183.509999999995</v>
      </c>
      <c r="H44" s="147">
        <f>SUM(H33:H43)</f>
        <v>-191375.40000000002</v>
      </c>
      <c r="I44" s="174">
        <f>+H44/(H44+H22)</f>
        <v>0.53209030402843804</v>
      </c>
      <c r="J44" s="158" t="s">
        <v>163</v>
      </c>
    </row>
    <row r="45" spans="5:12" ht="5.5" customHeight="1" thickBot="1" x14ac:dyDescent="0.4">
      <c r="L45" s="148"/>
    </row>
    <row r="46" spans="5:12" ht="16" thickBot="1" x14ac:dyDescent="0.4">
      <c r="E46" s="153" t="s">
        <v>141</v>
      </c>
      <c r="F46" s="154">
        <f>+F30+F44</f>
        <v>-18088</v>
      </c>
      <c r="G46" s="154">
        <f>+G30+G44</f>
        <v>-47983.509999999995</v>
      </c>
      <c r="H46" s="160">
        <f>+H30+H44</f>
        <v>-50660.340000000026</v>
      </c>
      <c r="I46" s="158"/>
      <c r="J46" s="158" t="s">
        <v>176</v>
      </c>
      <c r="L46" s="148"/>
    </row>
    <row r="47" spans="5:12" ht="16" thickBot="1" x14ac:dyDescent="0.4"/>
    <row r="48" spans="5:12" ht="16" thickBot="1" x14ac:dyDescent="0.4">
      <c r="E48" s="155" t="s">
        <v>142</v>
      </c>
      <c r="F48" s="156">
        <f>+F24+F46</f>
        <v>11689.140681499979</v>
      </c>
      <c r="G48" s="156">
        <f>+G24+G46</f>
        <v>-30904.580000000009</v>
      </c>
      <c r="H48" s="157">
        <f>+H24+H46</f>
        <v>64152.855999999912</v>
      </c>
      <c r="I48" s="158"/>
      <c r="J48" s="158" t="s">
        <v>164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Orçado x Realizado</vt:lpstr>
      <vt:lpstr>Orçamento 2022-2 + 2023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Riva Finatti</dc:creator>
  <cp:lastModifiedBy>Rafael Riva Finatti</cp:lastModifiedBy>
  <dcterms:created xsi:type="dcterms:W3CDTF">2022-04-08T15:08:21Z</dcterms:created>
  <dcterms:modified xsi:type="dcterms:W3CDTF">2022-08-13T01:10:27Z</dcterms:modified>
</cp:coreProperties>
</file>